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zo" sheetId="1" r:id="rId1"/>
    <sheet name="Junio" sheetId="2" r:id="rId2"/>
    <sheet name="Sept" sheetId="3" r:id="rId3"/>
    <sheet name="Dic" sheetId="4" r:id="rId4"/>
  </sheets>
  <externalReferences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H114" i="4" l="1"/>
  <c r="H112" i="4" s="1"/>
  <c r="H116" i="4" s="1"/>
  <c r="H117" i="4" s="1"/>
  <c r="G114" i="4"/>
  <c r="D114" i="4"/>
  <c r="C114" i="4"/>
  <c r="M114" i="4" s="1"/>
  <c r="N113" i="4"/>
  <c r="M113" i="4"/>
  <c r="L112" i="4"/>
  <c r="L116" i="4" s="1"/>
  <c r="L117" i="4" s="1"/>
  <c r="K112" i="4"/>
  <c r="K116" i="4" s="1"/>
  <c r="K117" i="4" s="1"/>
  <c r="J112" i="4"/>
  <c r="M112" i="4" s="1"/>
  <c r="G112" i="4"/>
  <c r="G116" i="4" s="1"/>
  <c r="E112" i="4"/>
  <c r="E116" i="4" s="1"/>
  <c r="E117" i="4" s="1"/>
  <c r="D112" i="4"/>
  <c r="C112" i="4"/>
  <c r="C116" i="4" s="1"/>
  <c r="N110" i="4"/>
  <c r="M110" i="4"/>
  <c r="N108" i="4"/>
  <c r="M108" i="4"/>
  <c r="N106" i="4"/>
  <c r="M106" i="4"/>
  <c r="M104" i="4"/>
  <c r="K104" i="4"/>
  <c r="N104" i="4" s="1"/>
  <c r="K102" i="4"/>
  <c r="N102" i="4" s="1"/>
  <c r="J102" i="4"/>
  <c r="J116" i="4" s="1"/>
  <c r="G102" i="4"/>
  <c r="D102" i="4"/>
  <c r="C102" i="4"/>
  <c r="N100" i="4"/>
  <c r="M100" i="4"/>
  <c r="N99" i="4"/>
  <c r="M99" i="4"/>
  <c r="N98" i="4"/>
  <c r="M98" i="4"/>
  <c r="M97" i="4"/>
  <c r="D97" i="4"/>
  <c r="N97" i="4" s="1"/>
  <c r="C97" i="4"/>
  <c r="N96" i="4"/>
  <c r="M96" i="4"/>
  <c r="N95" i="4"/>
  <c r="M95" i="4"/>
  <c r="L94" i="4"/>
  <c r="K94" i="4"/>
  <c r="J94" i="4"/>
  <c r="M94" i="4" s="1"/>
  <c r="H94" i="4"/>
  <c r="G94" i="4"/>
  <c r="E94" i="4"/>
  <c r="C94" i="4"/>
  <c r="N92" i="4"/>
  <c r="M92" i="4"/>
  <c r="N91" i="4"/>
  <c r="M91" i="4"/>
  <c r="L90" i="4"/>
  <c r="K90" i="4"/>
  <c r="J90" i="4"/>
  <c r="M90" i="4" s="1"/>
  <c r="H90" i="4"/>
  <c r="G90" i="4"/>
  <c r="E90" i="4"/>
  <c r="D90" i="4"/>
  <c r="N90" i="4" s="1"/>
  <c r="C90" i="4"/>
  <c r="N88" i="4"/>
  <c r="M88" i="4"/>
  <c r="N87" i="4"/>
  <c r="M87" i="4"/>
  <c r="N86" i="4"/>
  <c r="M86" i="4"/>
  <c r="N85" i="4"/>
  <c r="M85" i="4"/>
  <c r="N84" i="4"/>
  <c r="M84" i="4"/>
  <c r="L83" i="4"/>
  <c r="K83" i="4"/>
  <c r="J83" i="4"/>
  <c r="M83" i="4" s="1"/>
  <c r="H83" i="4"/>
  <c r="G83" i="4"/>
  <c r="E83" i="4"/>
  <c r="D83" i="4"/>
  <c r="N83" i="4" s="1"/>
  <c r="C83" i="4"/>
  <c r="N81" i="4"/>
  <c r="M81" i="4"/>
  <c r="N80" i="4"/>
  <c r="M80" i="4"/>
  <c r="N79" i="4"/>
  <c r="M79" i="4"/>
  <c r="L78" i="4"/>
  <c r="K78" i="4"/>
  <c r="J78" i="4"/>
  <c r="M78" i="4" s="1"/>
  <c r="H78" i="4"/>
  <c r="G78" i="4"/>
  <c r="E78" i="4"/>
  <c r="D78" i="4"/>
  <c r="N78" i="4" s="1"/>
  <c r="C78" i="4"/>
  <c r="N76" i="4"/>
  <c r="M76" i="4"/>
  <c r="A69" i="4"/>
  <c r="E64" i="4"/>
  <c r="E65" i="4" s="1"/>
  <c r="D64" i="4"/>
  <c r="B52" i="4"/>
  <c r="K44" i="4"/>
  <c r="J44" i="4"/>
  <c r="K42" i="4"/>
  <c r="J42" i="4"/>
  <c r="K41" i="4"/>
  <c r="J41" i="4"/>
  <c r="H40" i="4"/>
  <c r="H46" i="4" s="1"/>
  <c r="H47" i="4" s="1"/>
  <c r="G40" i="4"/>
  <c r="G46" i="4" s="1"/>
  <c r="E40" i="4"/>
  <c r="E46" i="4" s="1"/>
  <c r="E47" i="4" s="1"/>
  <c r="D40" i="4"/>
  <c r="D46" i="4" s="1"/>
  <c r="K38" i="4"/>
  <c r="J38" i="4"/>
  <c r="K37" i="4"/>
  <c r="J37" i="4"/>
  <c r="H36" i="4"/>
  <c r="G36" i="4"/>
  <c r="E36" i="4"/>
  <c r="K36" i="4" s="1"/>
  <c r="D36" i="4"/>
  <c r="J36" i="4" s="1"/>
  <c r="K34" i="4"/>
  <c r="J34" i="4"/>
  <c r="K33" i="4"/>
  <c r="J33" i="4"/>
  <c r="H32" i="4"/>
  <c r="G32" i="4"/>
  <c r="E32" i="4"/>
  <c r="K32" i="4" s="1"/>
  <c r="D32" i="4"/>
  <c r="J32" i="4" s="1"/>
  <c r="K30" i="4"/>
  <c r="J30" i="4"/>
  <c r="K29" i="4"/>
  <c r="J29" i="4"/>
  <c r="H28" i="4"/>
  <c r="G28" i="4"/>
  <c r="E28" i="4"/>
  <c r="K28" i="4" s="1"/>
  <c r="D28" i="4"/>
  <c r="J28" i="4" s="1"/>
  <c r="K26" i="4"/>
  <c r="J26" i="4"/>
  <c r="K25" i="4"/>
  <c r="J25" i="4"/>
  <c r="K24" i="4"/>
  <c r="J24" i="4"/>
  <c r="K23" i="4"/>
  <c r="J23" i="4"/>
  <c r="K22" i="4"/>
  <c r="J22" i="4"/>
  <c r="K21" i="4"/>
  <c r="J21" i="4"/>
  <c r="H20" i="4"/>
  <c r="G20" i="4"/>
  <c r="E20" i="4"/>
  <c r="K20" i="4" s="1"/>
  <c r="D20" i="4"/>
  <c r="J20" i="4" s="1"/>
  <c r="K18" i="4"/>
  <c r="J18" i="4"/>
  <c r="K16" i="4"/>
  <c r="J16" i="4"/>
  <c r="K14" i="4"/>
  <c r="J14" i="4"/>
  <c r="K13" i="4"/>
  <c r="J13" i="4"/>
  <c r="K12" i="4"/>
  <c r="J12" i="4"/>
  <c r="H11" i="4"/>
  <c r="G11" i="4"/>
  <c r="E11" i="4"/>
  <c r="K11" i="4" s="1"/>
  <c r="D11" i="4"/>
  <c r="J11" i="4" s="1"/>
  <c r="K9" i="4"/>
  <c r="J9" i="4"/>
  <c r="L113" i="3"/>
  <c r="K113" i="3"/>
  <c r="I113" i="3"/>
  <c r="I111" i="3" s="1"/>
  <c r="I115" i="3" s="1"/>
  <c r="I116" i="3" s="1"/>
  <c r="H113" i="3"/>
  <c r="H111" i="3" s="1"/>
  <c r="H115" i="3" s="1"/>
  <c r="E113" i="3"/>
  <c r="D113" i="3"/>
  <c r="M111" i="3"/>
  <c r="M115" i="3" s="1"/>
  <c r="M116" i="3" s="1"/>
  <c r="L111" i="3"/>
  <c r="K111" i="3"/>
  <c r="F111" i="3"/>
  <c r="F115" i="3" s="1"/>
  <c r="F116" i="3" s="1"/>
  <c r="E111" i="3"/>
  <c r="D111" i="3"/>
  <c r="L103" i="3"/>
  <c r="K103" i="3"/>
  <c r="L101" i="3"/>
  <c r="K101" i="3"/>
  <c r="H101" i="3"/>
  <c r="E101" i="3"/>
  <c r="D101" i="3"/>
  <c r="L99" i="3"/>
  <c r="K99" i="3"/>
  <c r="K93" i="3" s="1"/>
  <c r="E99" i="3"/>
  <c r="E93" i="3" s="1"/>
  <c r="D99" i="3"/>
  <c r="E96" i="3"/>
  <c r="D96" i="3"/>
  <c r="M93" i="3"/>
  <c r="L93" i="3"/>
  <c r="I93" i="3"/>
  <c r="H93" i="3"/>
  <c r="F93" i="3"/>
  <c r="D93" i="3"/>
  <c r="M89" i="3"/>
  <c r="L89" i="3"/>
  <c r="K89" i="3"/>
  <c r="I89" i="3"/>
  <c r="H89" i="3"/>
  <c r="F89" i="3"/>
  <c r="E89" i="3"/>
  <c r="D89" i="3"/>
  <c r="L87" i="3"/>
  <c r="L83" i="3" s="1"/>
  <c r="K87" i="3"/>
  <c r="H87" i="3"/>
  <c r="H83" i="3" s="1"/>
  <c r="E87" i="3"/>
  <c r="D87" i="3"/>
  <c r="M83" i="3"/>
  <c r="K83" i="3"/>
  <c r="I83" i="3"/>
  <c r="F83" i="3"/>
  <c r="E83" i="3"/>
  <c r="D83" i="3"/>
  <c r="D115" i="3" s="1"/>
  <c r="M78" i="3"/>
  <c r="L78" i="3"/>
  <c r="K78" i="3"/>
  <c r="I78" i="3"/>
  <c r="H78" i="3"/>
  <c r="F78" i="3"/>
  <c r="E78" i="3"/>
  <c r="D78" i="3"/>
  <c r="B69" i="3"/>
  <c r="E63" i="3"/>
  <c r="E64" i="3" s="1"/>
  <c r="D63" i="3"/>
  <c r="B49" i="3"/>
  <c r="H38" i="3"/>
  <c r="H44" i="3" s="1"/>
  <c r="H45" i="3" s="1"/>
  <c r="G38" i="3"/>
  <c r="G44" i="3" s="1"/>
  <c r="E38" i="3"/>
  <c r="E44" i="3" s="1"/>
  <c r="E45" i="3" s="1"/>
  <c r="D38" i="3"/>
  <c r="D44" i="3" s="1"/>
  <c r="H34" i="3"/>
  <c r="G34" i="3"/>
  <c r="E34" i="3"/>
  <c r="D34" i="3"/>
  <c r="H30" i="3"/>
  <c r="G30" i="3"/>
  <c r="E30" i="3"/>
  <c r="D30" i="3"/>
  <c r="H26" i="3"/>
  <c r="G26" i="3"/>
  <c r="E26" i="3"/>
  <c r="D26" i="3"/>
  <c r="H18" i="3"/>
  <c r="G18" i="3"/>
  <c r="E18" i="3"/>
  <c r="D18" i="3"/>
  <c r="H9" i="3"/>
  <c r="G9" i="3"/>
  <c r="E9" i="3"/>
  <c r="D9" i="3"/>
  <c r="L118" i="2"/>
  <c r="K118" i="2"/>
  <c r="J118" i="2"/>
  <c r="J116" i="2" s="1"/>
  <c r="J120" i="2" s="1"/>
  <c r="H118" i="2"/>
  <c r="G118" i="2"/>
  <c r="D118" i="2"/>
  <c r="C118" i="2"/>
  <c r="L116" i="2"/>
  <c r="L120" i="2" s="1"/>
  <c r="L121" i="2" s="1"/>
  <c r="K116" i="2"/>
  <c r="K120" i="2" s="1"/>
  <c r="K121" i="2" s="1"/>
  <c r="H116" i="2"/>
  <c r="H120" i="2" s="1"/>
  <c r="H121" i="2" s="1"/>
  <c r="G116" i="2"/>
  <c r="G120" i="2" s="1"/>
  <c r="E116" i="2"/>
  <c r="E120" i="2" s="1"/>
  <c r="E121" i="2" s="1"/>
  <c r="D116" i="2"/>
  <c r="C116" i="2"/>
  <c r="K108" i="2"/>
  <c r="J108" i="2"/>
  <c r="K106" i="2"/>
  <c r="J106" i="2"/>
  <c r="H106" i="2"/>
  <c r="G106" i="2"/>
  <c r="D106" i="2"/>
  <c r="D120" i="2" s="1"/>
  <c r="D121" i="2" s="1"/>
  <c r="C106" i="2"/>
  <c r="K101" i="2"/>
  <c r="J101" i="2"/>
  <c r="D101" i="2"/>
  <c r="C101" i="2"/>
  <c r="C95" i="2" s="1"/>
  <c r="E98" i="2"/>
  <c r="D98" i="2"/>
  <c r="C98" i="2"/>
  <c r="L95" i="2"/>
  <c r="K95" i="2"/>
  <c r="J95" i="2"/>
  <c r="H95" i="2"/>
  <c r="G95" i="2"/>
  <c r="E95" i="2"/>
  <c r="D95" i="2"/>
  <c r="L91" i="2"/>
  <c r="K91" i="2"/>
  <c r="J91" i="2"/>
  <c r="H91" i="2"/>
  <c r="G91" i="2"/>
  <c r="E91" i="2"/>
  <c r="D91" i="2"/>
  <c r="C91" i="2"/>
  <c r="L84" i="2"/>
  <c r="K84" i="2"/>
  <c r="J84" i="2"/>
  <c r="H84" i="2"/>
  <c r="G84" i="2"/>
  <c r="E84" i="2"/>
  <c r="D84" i="2"/>
  <c r="C84" i="2"/>
  <c r="L79" i="2"/>
  <c r="K79" i="2"/>
  <c r="J79" i="2"/>
  <c r="H79" i="2"/>
  <c r="G79" i="2"/>
  <c r="E79" i="2"/>
  <c r="D79" i="2"/>
  <c r="C79" i="2"/>
  <c r="A70" i="2"/>
  <c r="D64" i="2"/>
  <c r="D65" i="2" s="1"/>
  <c r="C64" i="2"/>
  <c r="A50" i="2"/>
  <c r="G38" i="2"/>
  <c r="G44" i="2" s="1"/>
  <c r="G45" i="2" s="1"/>
  <c r="F38" i="2"/>
  <c r="F44" i="2" s="1"/>
  <c r="D38" i="2"/>
  <c r="D44" i="2" s="1"/>
  <c r="D45" i="2" s="1"/>
  <c r="C38" i="2"/>
  <c r="C44" i="2" s="1"/>
  <c r="G34" i="2"/>
  <c r="F34" i="2"/>
  <c r="D34" i="2"/>
  <c r="C34" i="2"/>
  <c r="G30" i="2"/>
  <c r="F30" i="2"/>
  <c r="D30" i="2"/>
  <c r="C30" i="2"/>
  <c r="G26" i="2"/>
  <c r="F26" i="2"/>
  <c r="D26" i="2"/>
  <c r="C26" i="2"/>
  <c r="G18" i="2"/>
  <c r="F18" i="2"/>
  <c r="D18" i="2"/>
  <c r="C18" i="2"/>
  <c r="G9" i="2"/>
  <c r="F9" i="2"/>
  <c r="D9" i="2"/>
  <c r="C9" i="2"/>
  <c r="M126" i="1"/>
  <c r="L126" i="1"/>
  <c r="K126" i="1"/>
  <c r="K124" i="1" s="1"/>
  <c r="K128" i="1" s="1"/>
  <c r="E126" i="1"/>
  <c r="D126" i="1"/>
  <c r="M124" i="1"/>
  <c r="M128" i="1" s="1"/>
  <c r="M129" i="1" s="1"/>
  <c r="L124" i="1"/>
  <c r="L128" i="1" s="1"/>
  <c r="L129" i="1" s="1"/>
  <c r="I124" i="1"/>
  <c r="I128" i="1" s="1"/>
  <c r="I129" i="1" s="1"/>
  <c r="H124" i="1"/>
  <c r="H128" i="1" s="1"/>
  <c r="F124" i="1"/>
  <c r="F128" i="1" s="1"/>
  <c r="F129" i="1" s="1"/>
  <c r="E124" i="1"/>
  <c r="E128" i="1" s="1"/>
  <c r="E129" i="1" s="1"/>
  <c r="D124" i="1"/>
  <c r="D128" i="1" s="1"/>
  <c r="L116" i="1"/>
  <c r="L114" i="1"/>
  <c r="K114" i="1"/>
  <c r="I114" i="1"/>
  <c r="H114" i="1"/>
  <c r="E114" i="1"/>
  <c r="D114" i="1"/>
  <c r="L109" i="1"/>
  <c r="K109" i="1"/>
  <c r="E109" i="1"/>
  <c r="D109" i="1"/>
  <c r="I106" i="1"/>
  <c r="H106" i="1"/>
  <c r="E106" i="1"/>
  <c r="D106" i="1"/>
  <c r="M101" i="1"/>
  <c r="L101" i="1"/>
  <c r="K101" i="1"/>
  <c r="I101" i="1"/>
  <c r="H101" i="1"/>
  <c r="F101" i="1"/>
  <c r="E101" i="1"/>
  <c r="D101" i="1"/>
  <c r="M97" i="1"/>
  <c r="L97" i="1"/>
  <c r="K97" i="1"/>
  <c r="I97" i="1"/>
  <c r="H97" i="1"/>
  <c r="F97" i="1"/>
  <c r="E97" i="1"/>
  <c r="D97" i="1"/>
  <c r="M90" i="1"/>
  <c r="L90" i="1"/>
  <c r="K90" i="1"/>
  <c r="I90" i="1"/>
  <c r="H90" i="1"/>
  <c r="F90" i="1"/>
  <c r="E90" i="1"/>
  <c r="D90" i="1"/>
  <c r="M85" i="1"/>
  <c r="L85" i="1"/>
  <c r="K85" i="1"/>
  <c r="I85" i="1"/>
  <c r="H85" i="1"/>
  <c r="F85" i="1"/>
  <c r="E85" i="1"/>
  <c r="D85" i="1"/>
  <c r="B76" i="1"/>
  <c r="E68" i="1"/>
  <c r="E69" i="1" s="1"/>
  <c r="D68" i="1"/>
  <c r="B54" i="1"/>
  <c r="H40" i="1"/>
  <c r="H46" i="1" s="1"/>
  <c r="H47" i="1" s="1"/>
  <c r="G40" i="1"/>
  <c r="G46" i="1" s="1"/>
  <c r="E40" i="1"/>
  <c r="E46" i="1" s="1"/>
  <c r="E47" i="1" s="1"/>
  <c r="D40" i="1"/>
  <c r="D46" i="1" s="1"/>
  <c r="H36" i="1"/>
  <c r="G36" i="1"/>
  <c r="E36" i="1"/>
  <c r="D36" i="1"/>
  <c r="H32" i="1"/>
  <c r="G32" i="1"/>
  <c r="E32" i="1"/>
  <c r="D32" i="1"/>
  <c r="H28" i="1"/>
  <c r="G28" i="1"/>
  <c r="E28" i="1"/>
  <c r="D28" i="1"/>
  <c r="H20" i="1"/>
  <c r="G20" i="1"/>
  <c r="E20" i="1"/>
  <c r="D20" i="1"/>
  <c r="H11" i="1"/>
  <c r="G11" i="1"/>
  <c r="E11" i="1"/>
  <c r="D11" i="1"/>
  <c r="D94" i="4" l="1"/>
  <c r="D116" i="4" s="1"/>
  <c r="D117" i="4" s="1"/>
  <c r="M102" i="4"/>
  <c r="N112" i="4"/>
  <c r="N114" i="4"/>
  <c r="J40" i="4"/>
  <c r="K40" i="4"/>
  <c r="E115" i="3"/>
  <c r="E116" i="3" s="1"/>
  <c r="K115" i="3"/>
  <c r="L115" i="3"/>
  <c r="L116" i="3" s="1"/>
  <c r="C120" i="2"/>
  <c r="N94" i="4" l="1"/>
</calcChain>
</file>

<file path=xl/sharedStrings.xml><?xml version="1.0" encoding="utf-8"?>
<sst xmlns="http://schemas.openxmlformats.org/spreadsheetml/2006/main" count="539" uniqueCount="75">
  <si>
    <t xml:space="preserve">  </t>
  </si>
  <si>
    <t>A. RESERVAS SEGURO DE INVALIDEZ Y SOBREVIVENCIA (Circular Nº 528)</t>
  </si>
  <si>
    <t xml:space="preserve">     (al 31 de marzo de 2004, montos expresados en U.F.)</t>
  </si>
  <si>
    <t>Sociedad</t>
  </si>
  <si>
    <t>A.F.P.</t>
  </si>
  <si>
    <t>Invalidez</t>
  </si>
  <si>
    <t xml:space="preserve">                  Sobrevivencia</t>
  </si>
  <si>
    <t>Número</t>
  </si>
  <si>
    <t>Monto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</si>
  <si>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</si>
  <si>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</si>
  <si>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</si>
  <si>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</si>
  <si>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</si>
  <si>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</si>
  <si>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</si>
  <si>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Construcción</t>
  </si>
  <si>
    <t>Habitat</t>
  </si>
  <si>
    <t>Cruz del Sur</t>
  </si>
  <si>
    <t>Summa-Bansander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</si>
  <si>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</si>
  <si>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</si>
  <si>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</si>
  <si>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</si>
  <si>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</si>
  <si>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</si>
  <si>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</si>
  <si>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</si>
  <si>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Santa María</t>
  </si>
  <si>
    <t>Interamericana</t>
  </si>
  <si>
    <t>Magister</t>
  </si>
  <si>
    <t>Penta</t>
  </si>
  <si>
    <t>Renta Nacional</t>
  </si>
  <si>
    <t>Security</t>
  </si>
  <si>
    <t>Protección</t>
  </si>
  <si>
    <t>TOTAL</t>
  </si>
  <si>
    <t>TOTAL (miles de pesos)</t>
  </si>
  <si>
    <t>U.F. al 31.03.2004 $</t>
  </si>
  <si>
    <t>Archivo: BRES778</t>
  </si>
  <si>
    <t>(B3..E20)</t>
  </si>
  <si>
    <t>B. RESERVAS DE SINIESTROS SEGURO DE A.F.P. (Circular Nº 778)</t>
  </si>
  <si>
    <t xml:space="preserve">              S O B R E V I V E N C I A</t>
  </si>
  <si>
    <t xml:space="preserve">              Liquidados y en proceso</t>
  </si>
  <si>
    <t xml:space="preserve">         Número</t>
  </si>
  <si>
    <t xml:space="preserve">    Monto</t>
  </si>
  <si>
    <t>Archivo: CRES967</t>
  </si>
  <si>
    <t>(A3..L59)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</si>
  <si>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</si>
  <si>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</si>
  <si>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</si>
  <si>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</si>
  <si>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</si>
  <si>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</si>
  <si>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</si>
  <si>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</si>
  <si>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</si>
  <si>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</si>
  <si>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</si>
  <si>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>Bci</t>
  </si>
  <si>
    <t xml:space="preserve">Total  </t>
  </si>
  <si>
    <t>Aporta</t>
  </si>
  <si>
    <t>Bansander</t>
  </si>
  <si>
    <t>Fomenta</t>
  </si>
  <si>
    <t>Futuro</t>
  </si>
  <si>
    <t>Metlife</t>
  </si>
  <si>
    <t>Principal</t>
  </si>
  <si>
    <t xml:space="preserve"> </t>
  </si>
  <si>
    <t>Vida Corp</t>
  </si>
  <si>
    <t xml:space="preserve">     (al 30 de junio de 2004, montos expresados en U.F.)</t>
  </si>
  <si>
    <t>U.F. al 30.06.2004 $</t>
  </si>
  <si>
    <t xml:space="preserve">   Liquidados y en proceso</t>
  </si>
  <si>
    <t xml:space="preserve">     (al 30 de septiembre de 2004, montos expresados en U.F.)</t>
  </si>
  <si>
    <t>U.F. al 30.09.2004 $</t>
  </si>
  <si>
    <t xml:space="preserve">     (al 31 de diciembre de 2004, montos expresados en U.F.)</t>
  </si>
  <si>
    <t>U.F. al 31.12.2004 $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</si>
</sst>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.00000;[Red]\-#,##0.00000"/>
    <numFmt numFmtId="166" formatCode="#,##0[$€];[Red]\-#,##0[$€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name val="Courier"/>
    </font>
    <font>
      <sz val="10"/>
      <color rgb="FFFF00FF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10" fillId="0" borderId="0"/>
    <xf numFmtId="166" fontId="10" fillId="0" borderId="0" applyFont="0" applyFill="0" applyBorder="0" applyAlignment="0" applyProtection="0"/>
  </cellStyleXfs>
  <cellXfs count="138">
    <xf numFmtId="0" fontId="0" fillId="0" borderId="0" xfId="0"/>
    <xf numFmtId="164" fontId="2" fillId="0" borderId="0" xfId="0" applyNumberFormat="1" applyFont="1" applyFill="1" applyBorder="1"/>
    <xf numFmtId="164" fontId="3" fillId="0" borderId="0" xfId="0" quotePrefix="1" applyNumberFormat="1" applyFont="1" applyFill="1" applyBorder="1" applyAlignment="1">
      <alignment horizontal="left"/>
    </xf>
    <xf numFmtId="164" fontId="2" fillId="0" borderId="0" xfId="0" quotePrefix="1" applyNumberFormat="1" applyFont="1" applyFill="1" applyBorder="1" applyAlignment="1">
      <alignment horizontal="left"/>
    </xf>
    <xf numFmtId="164" fontId="4" fillId="0" borderId="0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/>
    <xf numFmtId="164" fontId="6" fillId="0" borderId="0" xfId="0" quotePrefix="1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4" fillId="0" borderId="4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164" fontId="7" fillId="0" borderId="5" xfId="0" quotePrefix="1" applyNumberFormat="1" applyFont="1" applyFill="1" applyBorder="1" applyAlignment="1" applyProtection="1">
      <alignment horizontal="center"/>
    </xf>
    <xf numFmtId="164" fontId="7" fillId="0" borderId="5" xfId="0" quotePrefix="1" applyNumberFormat="1" applyFont="1" applyFill="1" applyBorder="1" applyAlignment="1" applyProtection="1">
      <alignment horizontal="left"/>
    </xf>
    <xf numFmtId="164" fontId="7" fillId="0" borderId="0" xfId="0" quotePrefix="1" applyNumberFormat="1" applyFont="1" applyFill="1" applyBorder="1" applyAlignment="1" applyProtection="1">
      <alignment horizontal="left"/>
    </xf>
    <xf numFmtId="164" fontId="6" fillId="0" borderId="5" xfId="0" quotePrefix="1" applyNumberFormat="1" applyFont="1" applyFill="1" applyBorder="1" applyAlignment="1" applyProtection="1">
      <alignment horizontal="left"/>
    </xf>
    <xf numFmtId="164" fontId="6" fillId="0" borderId="6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4" fillId="0" borderId="0" xfId="0" applyNumberFormat="1" applyFont="1" applyFill="1" applyBorder="1" applyAlignment="1" applyProtection="1">
      <alignment horizontal="right"/>
    </xf>
    <xf numFmtId="164" fontId="4" fillId="0" borderId="0" xfId="0" quotePrefix="1" applyNumberFormat="1" applyFont="1" applyFill="1" applyBorder="1" applyAlignment="1" applyProtection="1">
      <alignment horizontal="right"/>
    </xf>
    <xf numFmtId="164" fontId="4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8" fillId="0" borderId="4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 applyProtection="1">
      <protection locked="0"/>
    </xf>
    <xf numFmtId="3" fontId="6" fillId="0" borderId="7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164" fontId="8" fillId="0" borderId="4" xfId="0" applyNumberFormat="1" applyFont="1" applyFill="1" applyBorder="1"/>
    <xf numFmtId="164" fontId="9" fillId="0" borderId="0" xfId="0" applyNumberFormat="1" applyFont="1" applyFill="1" applyBorder="1"/>
    <xf numFmtId="3" fontId="6" fillId="0" borderId="0" xfId="0" applyNumberFormat="1" applyFont="1" applyFill="1" applyBorder="1" applyProtection="1"/>
    <xf numFmtId="3" fontId="6" fillId="0" borderId="7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Protection="1"/>
    <xf numFmtId="3" fontId="3" fillId="0" borderId="7" xfId="0" applyNumberFormat="1" applyFont="1" applyFill="1" applyBorder="1" applyProtection="1"/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164" fontId="8" fillId="0" borderId="4" xfId="0" quotePrefix="1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3" fontId="6" fillId="0" borderId="0" xfId="2" applyNumberFormat="1" applyFont="1" applyFill="1" applyBorder="1" applyProtection="1">
      <protection locked="0"/>
    </xf>
    <xf numFmtId="164" fontId="9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4" fontId="10" fillId="0" borderId="0" xfId="0" applyNumberFormat="1" applyFont="1" applyFill="1" applyBorder="1"/>
    <xf numFmtId="164" fontId="3" fillId="0" borderId="4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/>
    <xf numFmtId="165" fontId="11" fillId="0" borderId="0" xfId="1" quotePrefix="1" applyNumberFormat="1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164" fontId="4" fillId="0" borderId="4" xfId="0" applyNumberFormat="1" applyFont="1" applyFill="1" applyBorder="1"/>
    <xf numFmtId="164" fontId="4" fillId="0" borderId="0" xfId="0" applyNumberFormat="1" applyFont="1" applyFill="1" applyBorder="1"/>
    <xf numFmtId="37" fontId="6" fillId="0" borderId="0" xfId="0" applyNumberFormat="1" applyFont="1" applyFill="1" applyBorder="1" applyProtection="1">
      <protection locked="0"/>
    </xf>
    <xf numFmtId="37" fontId="6" fillId="0" borderId="7" xfId="0" applyNumberFormat="1" applyFont="1" applyFill="1" applyBorder="1" applyProtection="1">
      <protection locked="0"/>
    </xf>
    <xf numFmtId="164" fontId="8" fillId="0" borderId="8" xfId="0" applyNumberFormat="1" applyFont="1" applyFill="1" applyBorder="1" applyAlignment="1" applyProtection="1">
      <alignment horizontal="left"/>
    </xf>
    <xf numFmtId="164" fontId="9" fillId="0" borderId="9" xfId="0" applyNumberFormat="1" applyFont="1" applyFill="1" applyBorder="1" applyAlignment="1" applyProtection="1">
      <alignment horizontal="left"/>
    </xf>
    <xf numFmtId="3" fontId="6" fillId="0" borderId="9" xfId="0" applyNumberFormat="1" applyFont="1" applyFill="1" applyBorder="1" applyProtection="1">
      <protection locked="0"/>
    </xf>
    <xf numFmtId="3" fontId="6" fillId="0" borderId="10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165" fontId="11" fillId="0" borderId="0" xfId="1" applyNumberFormat="1" applyFont="1" applyFill="1" applyBorder="1" applyProtection="1">
      <protection locked="0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3" fillId="0" borderId="0" xfId="3" quotePrefix="1" applyFont="1" applyFill="1" applyBorder="1" applyAlignment="1">
      <alignment horizontal="left"/>
    </xf>
    <xf numFmtId="37" fontId="2" fillId="0" borderId="0" xfId="3" applyFont="1" applyFill="1" applyBorder="1"/>
    <xf numFmtId="37" fontId="2" fillId="0" borderId="0" xfId="3" quotePrefix="1" applyFont="1" applyFill="1" applyBorder="1" applyAlignment="1">
      <alignment horizontal="left"/>
    </xf>
    <xf numFmtId="37" fontId="4" fillId="0" borderId="0" xfId="3" quotePrefix="1" applyFont="1" applyFill="1" applyBorder="1" applyAlignment="1" applyProtection="1">
      <alignment horizontal="left"/>
    </xf>
    <xf numFmtId="37" fontId="6" fillId="0" borderId="0" xfId="3" quotePrefix="1" applyFont="1" applyFill="1" applyBorder="1" applyAlignment="1" applyProtection="1">
      <alignment horizontal="left"/>
      <protection locked="0"/>
    </xf>
    <xf numFmtId="37" fontId="2" fillId="0" borderId="1" xfId="3" applyFont="1" applyFill="1" applyBorder="1" applyAlignment="1" applyProtection="1">
      <alignment horizontal="fill"/>
    </xf>
    <xf numFmtId="37" fontId="2" fillId="0" borderId="2" xfId="3" applyFont="1" applyFill="1" applyBorder="1" applyAlignment="1" applyProtection="1">
      <alignment horizontal="fill"/>
    </xf>
    <xf numFmtId="37" fontId="2" fillId="0" borderId="3" xfId="3" applyFont="1" applyFill="1" applyBorder="1" applyAlignment="1" applyProtection="1">
      <alignment horizontal="fill"/>
    </xf>
    <xf numFmtId="37" fontId="2" fillId="0" borderId="0" xfId="3" applyFont="1" applyFill="1" applyBorder="1" applyAlignment="1" applyProtection="1">
      <alignment horizontal="left"/>
    </xf>
    <xf numFmtId="37" fontId="2" fillId="0" borderId="4" xfId="3" applyFont="1" applyFill="1" applyBorder="1"/>
    <xf numFmtId="37" fontId="2" fillId="0" borderId="11" xfId="3" applyFont="1" applyFill="1" applyBorder="1"/>
    <xf numFmtId="37" fontId="3" fillId="0" borderId="11" xfId="3" applyFont="1" applyFill="1" applyBorder="1" applyAlignment="1" applyProtection="1">
      <alignment horizontal="left"/>
    </xf>
    <xf numFmtId="37" fontId="6" fillId="0" borderId="11" xfId="3" quotePrefix="1" applyFont="1" applyFill="1" applyBorder="1" applyAlignment="1" applyProtection="1">
      <alignment horizontal="left"/>
    </xf>
    <xf numFmtId="37" fontId="2" fillId="0" borderId="12" xfId="3" applyFont="1" applyFill="1" applyBorder="1"/>
    <xf numFmtId="37" fontId="2" fillId="0" borderId="0" xfId="3" applyFont="1" applyFill="1" applyBorder="1" applyAlignment="1" applyProtection="1">
      <alignment horizontal="right"/>
    </xf>
    <xf numFmtId="37" fontId="4" fillId="0" borderId="4" xfId="3" applyFont="1" applyFill="1" applyBorder="1" applyAlignment="1" applyProtection="1">
      <alignment horizontal="left"/>
    </xf>
    <xf numFmtId="37" fontId="4" fillId="0" borderId="0" xfId="3" applyFont="1" applyFill="1" applyBorder="1" applyAlignment="1" applyProtection="1">
      <alignment horizontal="left"/>
    </xf>
    <xf numFmtId="37" fontId="2" fillId="0" borderId="13" xfId="3" applyFont="1" applyFill="1" applyBorder="1"/>
    <xf numFmtId="37" fontId="6" fillId="0" borderId="13" xfId="3" quotePrefix="1" applyFont="1" applyFill="1" applyBorder="1" applyAlignment="1" applyProtection="1">
      <alignment horizontal="left"/>
    </xf>
    <xf numFmtId="37" fontId="2" fillId="0" borderId="14" xfId="3" applyFont="1" applyFill="1" applyBorder="1"/>
    <xf numFmtId="37" fontId="9" fillId="0" borderId="13" xfId="3" quotePrefix="1" applyFont="1" applyFill="1" applyBorder="1" applyAlignment="1" applyProtection="1">
      <alignment horizontal="left"/>
    </xf>
    <xf numFmtId="37" fontId="2" fillId="0" borderId="7" xfId="3" applyFont="1" applyFill="1" applyBorder="1"/>
    <xf numFmtId="37" fontId="4" fillId="0" borderId="0" xfId="3" applyFont="1" applyFill="1" applyBorder="1"/>
    <xf numFmtId="37" fontId="4" fillId="0" borderId="0" xfId="3" quotePrefix="1" applyFont="1" applyFill="1" applyBorder="1" applyAlignment="1" applyProtection="1">
      <alignment horizontal="right"/>
    </xf>
    <xf numFmtId="37" fontId="4" fillId="0" borderId="0" xfId="3" quotePrefix="1" applyFont="1" applyFill="1" applyBorder="1" applyAlignment="1" applyProtection="1">
      <alignment horizontal="center"/>
    </xf>
    <xf numFmtId="37" fontId="4" fillId="0" borderId="0" xfId="3" applyFont="1" applyFill="1" applyBorder="1" applyAlignment="1">
      <alignment horizontal="left"/>
    </xf>
    <xf numFmtId="37" fontId="4" fillId="0" borderId="7" xfId="3" quotePrefix="1" applyFont="1" applyFill="1" applyBorder="1" applyAlignment="1" applyProtection="1">
      <alignment horizontal="right"/>
    </xf>
    <xf numFmtId="37" fontId="4" fillId="0" borderId="0" xfId="3" applyFont="1" applyFill="1" applyBorder="1" applyAlignment="1" applyProtection="1">
      <alignment horizontal="right"/>
    </xf>
    <xf numFmtId="37" fontId="4" fillId="0" borderId="7" xfId="3" applyFont="1" applyFill="1" applyBorder="1" applyAlignment="1" applyProtection="1">
      <alignment horizontal="right"/>
    </xf>
    <xf numFmtId="37" fontId="2" fillId="0" borderId="8" xfId="3" applyFont="1" applyFill="1" applyBorder="1" applyAlignment="1" applyProtection="1">
      <alignment horizontal="fill"/>
    </xf>
    <xf numFmtId="37" fontId="2" fillId="0" borderId="9" xfId="3" applyFont="1" applyFill="1" applyBorder="1" applyAlignment="1" applyProtection="1">
      <alignment horizontal="fill"/>
    </xf>
    <xf numFmtId="37" fontId="2" fillId="0" borderId="10" xfId="3" applyFont="1" applyFill="1" applyBorder="1" applyAlignment="1" applyProtection="1">
      <alignment horizontal="fill"/>
    </xf>
    <xf numFmtId="37" fontId="8" fillId="0" borderId="4" xfId="3" applyFont="1" applyFill="1" applyBorder="1" applyAlignment="1" applyProtection="1">
      <alignment horizontal="left"/>
    </xf>
    <xf numFmtId="37" fontId="9" fillId="0" borderId="0" xfId="3" applyFont="1" applyFill="1" applyBorder="1" applyAlignment="1" applyProtection="1">
      <alignment horizontal="left"/>
    </xf>
    <xf numFmtId="3" fontId="9" fillId="0" borderId="0" xfId="3" applyNumberFormat="1" applyFont="1" applyFill="1" applyBorder="1" applyProtection="1">
      <protection locked="0"/>
    </xf>
    <xf numFmtId="3" fontId="9" fillId="0" borderId="7" xfId="3" applyNumberFormat="1" applyFont="1" applyFill="1" applyBorder="1" applyProtection="1">
      <protection locked="0"/>
    </xf>
    <xf numFmtId="37" fontId="2" fillId="0" borderId="4" xfId="3" applyFont="1" applyFill="1" applyBorder="1" applyAlignment="1" applyProtection="1">
      <alignment horizontal="fill"/>
    </xf>
    <xf numFmtId="37" fontId="2" fillId="0" borderId="0" xfId="3" applyFont="1" applyFill="1" applyBorder="1" applyAlignment="1" applyProtection="1">
      <alignment horizontal="fill"/>
    </xf>
    <xf numFmtId="37" fontId="2" fillId="0" borderId="7" xfId="3" applyFont="1" applyFill="1" applyBorder="1" applyAlignment="1" applyProtection="1">
      <alignment horizontal="fill"/>
    </xf>
    <xf numFmtId="37" fontId="8" fillId="0" borderId="0" xfId="3" applyFont="1" applyFill="1" applyBorder="1" applyAlignment="1" applyProtection="1">
      <alignment horizontal="left"/>
    </xf>
    <xf numFmtId="3" fontId="9" fillId="0" borderId="0" xfId="3" applyNumberFormat="1" applyFont="1" applyFill="1" applyBorder="1" applyProtection="1"/>
    <xf numFmtId="3" fontId="9" fillId="0" borderId="7" xfId="3" applyNumberFormat="1" applyFont="1" applyFill="1" applyBorder="1" applyProtection="1"/>
    <xf numFmtId="37" fontId="8" fillId="0" borderId="4" xfId="3" applyFont="1" applyFill="1" applyBorder="1"/>
    <xf numFmtId="3" fontId="6" fillId="0" borderId="0" xfId="3" applyNumberFormat="1" applyFont="1" applyFill="1" applyBorder="1" applyProtection="1">
      <protection locked="0"/>
    </xf>
    <xf numFmtId="3" fontId="6" fillId="0" borderId="7" xfId="3" applyNumberFormat="1" applyFont="1" applyFill="1" applyBorder="1" applyProtection="1">
      <protection locked="0"/>
    </xf>
    <xf numFmtId="37" fontId="9" fillId="0" borderId="0" xfId="3" quotePrefix="1" applyFont="1" applyFill="1" applyBorder="1" applyAlignment="1" applyProtection="1">
      <alignment horizontal="left"/>
    </xf>
    <xf numFmtId="3" fontId="6" fillId="0" borderId="0" xfId="3" applyNumberFormat="1" applyFont="1" applyFill="1" applyBorder="1" applyAlignment="1" applyProtection="1">
      <alignment horizontal="right"/>
      <protection locked="0"/>
    </xf>
    <xf numFmtId="37" fontId="9" fillId="0" borderId="0" xfId="3" applyFont="1" applyFill="1" applyBorder="1"/>
    <xf numFmtId="3" fontId="6" fillId="0" borderId="0" xfId="3" applyNumberFormat="1" applyFont="1" applyFill="1" applyBorder="1"/>
    <xf numFmtId="3" fontId="6" fillId="0" borderId="7" xfId="3" applyNumberFormat="1" applyFont="1" applyFill="1" applyBorder="1"/>
    <xf numFmtId="3" fontId="6" fillId="0" borderId="0" xfId="3" applyNumberFormat="1" applyFont="1" applyFill="1" applyBorder="1" applyProtection="1"/>
    <xf numFmtId="37" fontId="8" fillId="0" borderId="4" xfId="3" quotePrefix="1" applyFont="1" applyFill="1" applyBorder="1" applyAlignment="1" applyProtection="1">
      <alignment horizontal="left"/>
    </xf>
    <xf numFmtId="3" fontId="9" fillId="0" borderId="0" xfId="3" applyNumberFormat="1" applyFont="1" applyFill="1" applyBorder="1"/>
    <xf numFmtId="37" fontId="8" fillId="0" borderId="8" xfId="3" applyFont="1" applyFill="1" applyBorder="1" applyAlignment="1" applyProtection="1">
      <alignment horizontal="left"/>
    </xf>
    <xf numFmtId="3" fontId="6" fillId="0" borderId="10" xfId="3" applyNumberFormat="1" applyFont="1" applyFill="1" applyBorder="1" applyProtection="1">
      <protection locked="0"/>
    </xf>
    <xf numFmtId="3" fontId="2" fillId="0" borderId="2" xfId="3" applyNumberFormat="1" applyFont="1" applyFill="1" applyBorder="1" applyAlignment="1" applyProtection="1">
      <alignment horizontal="fill"/>
    </xf>
    <xf numFmtId="3" fontId="2" fillId="0" borderId="3" xfId="3" applyNumberFormat="1" applyFont="1" applyFill="1" applyBorder="1" applyAlignment="1" applyProtection="1">
      <alignment horizontal="fill"/>
    </xf>
    <xf numFmtId="3" fontId="3" fillId="0" borderId="0" xfId="3" applyNumberFormat="1" applyFont="1" applyFill="1" applyBorder="1" applyProtection="1"/>
    <xf numFmtId="3" fontId="3" fillId="0" borderId="7" xfId="3" applyNumberFormat="1" applyFont="1" applyFill="1" applyBorder="1" applyProtection="1"/>
    <xf numFmtId="37" fontId="3" fillId="0" borderId="4" xfId="3" applyFont="1" applyFill="1" applyBorder="1" applyAlignment="1" applyProtection="1">
      <alignment horizontal="left"/>
    </xf>
    <xf numFmtId="3" fontId="2" fillId="0" borderId="9" xfId="3" applyNumberFormat="1" applyFont="1" applyFill="1" applyBorder="1" applyAlignment="1" applyProtection="1">
      <alignment horizontal="fill"/>
    </xf>
    <xf numFmtId="3" fontId="2" fillId="0" borderId="10" xfId="3" applyNumberFormat="1" applyFont="1" applyFill="1" applyBorder="1" applyAlignment="1" applyProtection="1">
      <alignment horizontal="fill"/>
    </xf>
    <xf numFmtId="37" fontId="6" fillId="0" borderId="0" xfId="3" applyFont="1" applyFill="1" applyBorder="1" applyProtection="1">
      <protection locked="0"/>
    </xf>
    <xf numFmtId="37" fontId="6" fillId="0" borderId="0" xfId="3" applyFont="1" applyFill="1" applyBorder="1" applyAlignment="1" applyProtection="1">
      <alignment horizontal="left"/>
      <protection locked="0"/>
    </xf>
    <xf numFmtId="3" fontId="6" fillId="0" borderId="0" xfId="4" applyNumberFormat="1" applyFont="1" applyFill="1" applyBorder="1" applyProtection="1">
      <protection locked="0"/>
    </xf>
    <xf numFmtId="164" fontId="4" fillId="0" borderId="15" xfId="0" quotePrefix="1" applyNumberFormat="1" applyFont="1" applyFill="1" applyBorder="1" applyAlignment="1" applyProtection="1">
      <alignment horizontal="center"/>
    </xf>
    <xf numFmtId="164" fontId="4" fillId="0" borderId="16" xfId="0" quotePrefix="1" applyNumberFormat="1" applyFont="1" applyFill="1" applyBorder="1" applyAlignment="1" applyProtection="1">
      <alignment horizontal="center"/>
    </xf>
  </cellXfs>
  <cellStyles count="5">
    <cellStyle name="Euro" xfId="4"/>
    <cellStyle name="Millares" xfId="1" builtinId="3"/>
    <cellStyle name="Millares [0]" xfId="2" builtinId="6"/>
    <cellStyle name="Normal" xfId="0" builtinId="0"/>
    <cellStyle name="Normal_CRES967.XLS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4/abc_reservas_marzo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04/abc_reservas_junio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4/abc_reservas_sep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04/abc_reservas_dic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S528"/>
      <sheetName val="BRES778"/>
      <sheetName val="CRES967"/>
    </sheetNames>
    <sheetDataSet>
      <sheetData sheetId="0">
        <row r="4">
          <cell r="B4" t="str">
            <v xml:space="preserve">     (al 31 de marzo de 2004, montos expresados en U.F.)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30 de junio de 2004, montos expresados en U.F.)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30 de septiembre de 2004, montos expresados en U.F.)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31 de diciembre de 2004,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8" style="1" customWidth="1"/>
    <col min="7" max="7" width="11" style="1" customWidth="1"/>
    <col min="8" max="8" width="12.85546875" style="1" customWidth="1"/>
    <col min="9" max="9" width="11.42578125" style="1" customWidth="1"/>
    <col min="10" max="10" width="14.7109375" style="1" customWidth="1"/>
    <col min="11" max="11" width="10" style="1" customWidth="1"/>
    <col min="12" max="14" width="8" style="1"/>
    <col min="15" max="15" width="14.42578125" style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2" style="1" customWidth="1"/>
    <col min="263" max="263" width="11" style="1" customWidth="1"/>
    <col min="264" max="264" width="12.85546875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2" style="1" customWidth="1"/>
    <col min="519" max="519" width="11" style="1" customWidth="1"/>
    <col min="520" max="520" width="12.85546875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2" style="1" customWidth="1"/>
    <col min="775" max="775" width="11" style="1" customWidth="1"/>
    <col min="776" max="776" width="12.85546875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2" style="1" customWidth="1"/>
    <col min="1031" max="1031" width="11" style="1" customWidth="1"/>
    <col min="1032" max="1032" width="12.85546875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2" style="1" customWidth="1"/>
    <col min="1287" max="1287" width="11" style="1" customWidth="1"/>
    <col min="1288" max="1288" width="12.85546875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2" style="1" customWidth="1"/>
    <col min="1543" max="1543" width="11" style="1" customWidth="1"/>
    <col min="1544" max="1544" width="12.85546875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2" style="1" customWidth="1"/>
    <col min="1799" max="1799" width="11" style="1" customWidth="1"/>
    <col min="1800" max="1800" width="12.85546875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2" style="1" customWidth="1"/>
    <col min="2055" max="2055" width="11" style="1" customWidth="1"/>
    <col min="2056" max="2056" width="12.85546875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2" style="1" customWidth="1"/>
    <col min="2311" max="2311" width="11" style="1" customWidth="1"/>
    <col min="2312" max="2312" width="12.85546875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2" style="1" customWidth="1"/>
    <col min="2567" max="2567" width="11" style="1" customWidth="1"/>
    <col min="2568" max="2568" width="12.85546875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2" style="1" customWidth="1"/>
    <col min="2823" max="2823" width="11" style="1" customWidth="1"/>
    <col min="2824" max="2824" width="12.85546875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2" style="1" customWidth="1"/>
    <col min="3079" max="3079" width="11" style="1" customWidth="1"/>
    <col min="3080" max="3080" width="12.85546875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2" style="1" customWidth="1"/>
    <col min="3335" max="3335" width="11" style="1" customWidth="1"/>
    <col min="3336" max="3336" width="12.85546875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2" style="1" customWidth="1"/>
    <col min="3591" max="3591" width="11" style="1" customWidth="1"/>
    <col min="3592" max="3592" width="12.85546875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2" style="1" customWidth="1"/>
    <col min="3847" max="3847" width="11" style="1" customWidth="1"/>
    <col min="3848" max="3848" width="12.85546875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2" style="1" customWidth="1"/>
    <col min="4103" max="4103" width="11" style="1" customWidth="1"/>
    <col min="4104" max="4104" width="12.85546875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2" style="1" customWidth="1"/>
    <col min="4359" max="4359" width="11" style="1" customWidth="1"/>
    <col min="4360" max="4360" width="12.85546875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2" style="1" customWidth="1"/>
    <col min="4615" max="4615" width="11" style="1" customWidth="1"/>
    <col min="4616" max="4616" width="12.85546875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2" style="1" customWidth="1"/>
    <col min="4871" max="4871" width="11" style="1" customWidth="1"/>
    <col min="4872" max="4872" width="12.85546875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2" style="1" customWidth="1"/>
    <col min="5127" max="5127" width="11" style="1" customWidth="1"/>
    <col min="5128" max="5128" width="12.85546875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2" style="1" customWidth="1"/>
    <col min="5383" max="5383" width="11" style="1" customWidth="1"/>
    <col min="5384" max="5384" width="12.85546875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2" style="1" customWidth="1"/>
    <col min="5639" max="5639" width="11" style="1" customWidth="1"/>
    <col min="5640" max="5640" width="12.85546875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2" style="1" customWidth="1"/>
    <col min="5895" max="5895" width="11" style="1" customWidth="1"/>
    <col min="5896" max="5896" width="12.85546875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2" style="1" customWidth="1"/>
    <col min="6151" max="6151" width="11" style="1" customWidth="1"/>
    <col min="6152" max="6152" width="12.85546875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2" style="1" customWidth="1"/>
    <col min="6407" max="6407" width="11" style="1" customWidth="1"/>
    <col min="6408" max="6408" width="12.85546875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2" style="1" customWidth="1"/>
    <col min="6663" max="6663" width="11" style="1" customWidth="1"/>
    <col min="6664" max="6664" width="12.85546875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2" style="1" customWidth="1"/>
    <col min="6919" max="6919" width="11" style="1" customWidth="1"/>
    <col min="6920" max="6920" width="12.85546875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2" style="1" customWidth="1"/>
    <col min="7175" max="7175" width="11" style="1" customWidth="1"/>
    <col min="7176" max="7176" width="12.85546875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2" style="1" customWidth="1"/>
    <col min="7431" max="7431" width="11" style="1" customWidth="1"/>
    <col min="7432" max="7432" width="12.85546875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2" style="1" customWidth="1"/>
    <col min="7687" max="7687" width="11" style="1" customWidth="1"/>
    <col min="7688" max="7688" width="12.85546875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2" style="1" customWidth="1"/>
    <col min="7943" max="7943" width="11" style="1" customWidth="1"/>
    <col min="7944" max="7944" width="12.85546875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2" style="1" customWidth="1"/>
    <col min="8199" max="8199" width="11" style="1" customWidth="1"/>
    <col min="8200" max="8200" width="12.85546875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2" style="1" customWidth="1"/>
    <col min="8455" max="8455" width="11" style="1" customWidth="1"/>
    <col min="8456" max="8456" width="12.85546875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2" style="1" customWidth="1"/>
    <col min="8711" max="8711" width="11" style="1" customWidth="1"/>
    <col min="8712" max="8712" width="12.85546875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2" style="1" customWidth="1"/>
    <col min="8967" max="8967" width="11" style="1" customWidth="1"/>
    <col min="8968" max="8968" width="12.85546875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2" style="1" customWidth="1"/>
    <col min="9223" max="9223" width="11" style="1" customWidth="1"/>
    <col min="9224" max="9224" width="12.85546875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2" style="1" customWidth="1"/>
    <col min="9479" max="9479" width="11" style="1" customWidth="1"/>
    <col min="9480" max="9480" width="12.85546875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2" style="1" customWidth="1"/>
    <col min="9735" max="9735" width="11" style="1" customWidth="1"/>
    <col min="9736" max="9736" width="12.85546875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2" style="1" customWidth="1"/>
    <col min="9991" max="9991" width="11" style="1" customWidth="1"/>
    <col min="9992" max="9992" width="12.85546875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2" style="1" customWidth="1"/>
    <col min="10247" max="10247" width="11" style="1" customWidth="1"/>
    <col min="10248" max="10248" width="12.85546875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2" style="1" customWidth="1"/>
    <col min="10503" max="10503" width="11" style="1" customWidth="1"/>
    <col min="10504" max="10504" width="12.85546875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2" style="1" customWidth="1"/>
    <col min="10759" max="10759" width="11" style="1" customWidth="1"/>
    <col min="10760" max="10760" width="12.85546875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2" style="1" customWidth="1"/>
    <col min="11015" max="11015" width="11" style="1" customWidth="1"/>
    <col min="11016" max="11016" width="12.85546875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2" style="1" customWidth="1"/>
    <col min="11271" max="11271" width="11" style="1" customWidth="1"/>
    <col min="11272" max="11272" width="12.85546875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2" style="1" customWidth="1"/>
    <col min="11527" max="11527" width="11" style="1" customWidth="1"/>
    <col min="11528" max="11528" width="12.85546875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2" style="1" customWidth="1"/>
    <col min="11783" max="11783" width="11" style="1" customWidth="1"/>
    <col min="11784" max="11784" width="12.85546875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2" style="1" customWidth="1"/>
    <col min="12039" max="12039" width="11" style="1" customWidth="1"/>
    <col min="12040" max="12040" width="12.85546875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2" style="1" customWidth="1"/>
    <col min="12295" max="12295" width="11" style="1" customWidth="1"/>
    <col min="12296" max="12296" width="12.85546875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2" style="1" customWidth="1"/>
    <col min="12551" max="12551" width="11" style="1" customWidth="1"/>
    <col min="12552" max="12552" width="12.85546875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2" style="1" customWidth="1"/>
    <col min="12807" max="12807" width="11" style="1" customWidth="1"/>
    <col min="12808" max="12808" width="12.85546875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2" style="1" customWidth="1"/>
    <col min="13063" max="13063" width="11" style="1" customWidth="1"/>
    <col min="13064" max="13064" width="12.85546875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2" style="1" customWidth="1"/>
    <col min="13319" max="13319" width="11" style="1" customWidth="1"/>
    <col min="13320" max="13320" width="12.85546875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2" style="1" customWidth="1"/>
    <col min="13575" max="13575" width="11" style="1" customWidth="1"/>
    <col min="13576" max="13576" width="12.85546875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2" style="1" customWidth="1"/>
    <col min="13831" max="13831" width="11" style="1" customWidth="1"/>
    <col min="13832" max="13832" width="12.85546875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2" style="1" customWidth="1"/>
    <col min="14087" max="14087" width="11" style="1" customWidth="1"/>
    <col min="14088" max="14088" width="12.85546875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2" style="1" customWidth="1"/>
    <col min="14343" max="14343" width="11" style="1" customWidth="1"/>
    <col min="14344" max="14344" width="12.85546875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2" style="1" customWidth="1"/>
    <col min="14599" max="14599" width="11" style="1" customWidth="1"/>
    <col min="14600" max="14600" width="12.85546875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2" style="1" customWidth="1"/>
    <col min="14855" max="14855" width="11" style="1" customWidth="1"/>
    <col min="14856" max="14856" width="12.85546875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2" style="1" customWidth="1"/>
    <col min="15111" max="15111" width="11" style="1" customWidth="1"/>
    <col min="15112" max="15112" width="12.85546875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2" style="1" customWidth="1"/>
    <col min="15367" max="15367" width="11" style="1" customWidth="1"/>
    <col min="15368" max="15368" width="12.85546875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2" style="1" customWidth="1"/>
    <col min="15623" max="15623" width="11" style="1" customWidth="1"/>
    <col min="15624" max="15624" width="12.85546875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2" style="1" customWidth="1"/>
    <col min="15879" max="15879" width="11" style="1" customWidth="1"/>
    <col min="15880" max="15880" width="12.85546875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2" style="1" customWidth="1"/>
    <col min="16135" max="16135" width="11" style="1" customWidth="1"/>
    <col min="16136" max="16136" width="12.85546875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2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4"/>
      <c r="E6" s="15" t="s">
        <v>5</v>
      </c>
      <c r="F6" s="16"/>
      <c r="G6" s="17" t="s">
        <v>6</v>
      </c>
      <c r="H6" s="18"/>
      <c r="I6" s="19"/>
      <c r="L6" s="7"/>
      <c r="M6" s="8"/>
      <c r="N6" s="8"/>
    </row>
    <row r="7" spans="1:15" x14ac:dyDescent="0.2">
      <c r="A7" s="19"/>
      <c r="B7" s="20"/>
      <c r="D7" s="21" t="s">
        <v>7</v>
      </c>
      <c r="E7" s="22" t="s">
        <v>8</v>
      </c>
      <c r="F7" s="22"/>
      <c r="G7" s="21" t="s">
        <v>7</v>
      </c>
      <c r="H7" s="23" t="s">
        <v>8</v>
      </c>
      <c r="I7" s="19"/>
      <c r="L7" s="7"/>
      <c r="M7" s="8"/>
      <c r="N7" s="8"/>
    </row>
    <row r="8" spans="1:15" x14ac:dyDescent="0.2">
      <c r="A8" s="19"/>
      <c r="B8" s="24"/>
      <c r="C8" s="25"/>
      <c r="D8" s="25"/>
      <c r="E8" s="25"/>
      <c r="F8" s="25"/>
      <c r="G8" s="25"/>
      <c r="H8" s="26"/>
      <c r="I8" s="27"/>
      <c r="L8" s="7"/>
      <c r="M8" s="8"/>
      <c r="N8" s="8"/>
    </row>
    <row r="9" spans="1:15" x14ac:dyDescent="0.2">
      <c r="A9" s="19"/>
      <c r="B9" s="28" t="s">
        <v>9</v>
      </c>
      <c r="C9" s="29" t="s">
        <v>10</v>
      </c>
      <c r="D9" s="30">
        <v>159</v>
      </c>
      <c r="E9" s="30">
        <v>147122</v>
      </c>
      <c r="G9" s="30">
        <v>133</v>
      </c>
      <c r="H9" s="31">
        <v>67864</v>
      </c>
      <c r="I9" s="19"/>
      <c r="J9" s="32"/>
      <c r="K9" s="32"/>
      <c r="L9" s="7"/>
      <c r="M9" s="8"/>
      <c r="N9" s="8"/>
    </row>
    <row r="10" spans="1:15" x14ac:dyDescent="0.2">
      <c r="A10" s="19"/>
      <c r="B10" s="33"/>
      <c r="C10" s="34"/>
      <c r="D10" s="35"/>
      <c r="E10" s="35"/>
      <c r="F10" s="35"/>
      <c r="G10" s="35"/>
      <c r="H10" s="36"/>
      <c r="I10" s="19"/>
      <c r="J10" s="32"/>
      <c r="K10" s="32"/>
      <c r="L10" s="7"/>
      <c r="M10" s="8"/>
      <c r="N10" s="8"/>
    </row>
    <row r="11" spans="1:15" x14ac:dyDescent="0.2">
      <c r="A11" s="19"/>
      <c r="B11" s="28" t="s">
        <v>11</v>
      </c>
      <c r="C11" s="37" t="s">
        <v>12</v>
      </c>
      <c r="D11" s="38">
        <f>SUM(D12:D14)</f>
        <v>3653</v>
      </c>
      <c r="E11" s="38">
        <f>SUM(E12:E14)</f>
        <v>4197921</v>
      </c>
      <c r="F11" s="38"/>
      <c r="G11" s="38">
        <f>SUM(G12:G14)</f>
        <v>2809</v>
      </c>
      <c r="H11" s="39">
        <f>SUM(H12:H14)</f>
        <v>1816357</v>
      </c>
      <c r="I11" s="19"/>
      <c r="J11" s="32"/>
      <c r="K11" s="32"/>
      <c r="L11" s="7"/>
      <c r="M11" s="8"/>
      <c r="N11" s="8"/>
    </row>
    <row r="12" spans="1:15" x14ac:dyDescent="0.2">
      <c r="A12" s="19"/>
      <c r="B12" s="28"/>
      <c r="C12" s="29" t="s">
        <v>13</v>
      </c>
      <c r="D12" s="35">
        <v>362</v>
      </c>
      <c r="E12" s="35">
        <v>358885</v>
      </c>
      <c r="F12" s="35"/>
      <c r="G12" s="35">
        <v>334</v>
      </c>
      <c r="H12" s="36">
        <v>179386</v>
      </c>
      <c r="I12" s="19"/>
      <c r="J12" s="32"/>
      <c r="K12" s="32"/>
      <c r="L12" s="7"/>
      <c r="M12" s="8"/>
      <c r="N12" s="8"/>
    </row>
    <row r="13" spans="1:15" x14ac:dyDescent="0.2">
      <c r="A13" s="19"/>
      <c r="B13" s="33"/>
      <c r="C13" s="29" t="s">
        <v>14</v>
      </c>
      <c r="D13" s="30">
        <v>3150</v>
      </c>
      <c r="E13" s="30">
        <v>3621127</v>
      </c>
      <c r="F13" s="30"/>
      <c r="G13" s="30">
        <v>2366</v>
      </c>
      <c r="H13" s="31">
        <v>1532140</v>
      </c>
      <c r="I13" s="19"/>
      <c r="J13" s="32"/>
      <c r="K13" s="32"/>
      <c r="L13" s="8"/>
      <c r="M13" s="8"/>
      <c r="N13" s="8"/>
    </row>
    <row r="14" spans="1:15" x14ac:dyDescent="0.2">
      <c r="A14" s="19"/>
      <c r="B14" s="33"/>
      <c r="C14" s="29" t="s">
        <v>15</v>
      </c>
      <c r="D14" s="35">
        <v>141</v>
      </c>
      <c r="E14" s="35">
        <v>217909</v>
      </c>
      <c r="F14" s="35"/>
      <c r="G14" s="35">
        <v>109</v>
      </c>
      <c r="H14" s="36">
        <v>104831</v>
      </c>
      <c r="I14" s="19"/>
      <c r="J14" s="32"/>
      <c r="K14" s="32"/>
      <c r="M14" s="8"/>
      <c r="N14" s="8"/>
    </row>
    <row r="15" spans="1:15" x14ac:dyDescent="0.2">
      <c r="A15" s="19"/>
      <c r="B15" s="33"/>
      <c r="C15" s="34"/>
      <c r="D15" s="30"/>
      <c r="E15" s="30"/>
      <c r="F15" s="30"/>
      <c r="G15" s="30"/>
      <c r="H15" s="31"/>
      <c r="I15" s="19"/>
      <c r="J15" s="32"/>
      <c r="K15" s="32"/>
      <c r="L15" s="8"/>
      <c r="M15" s="8"/>
      <c r="N15" s="8"/>
    </row>
    <row r="16" spans="1:15" x14ac:dyDescent="0.2">
      <c r="A16" s="19"/>
      <c r="B16" s="28" t="s">
        <v>16</v>
      </c>
      <c r="C16" s="29" t="s">
        <v>17</v>
      </c>
      <c r="D16" s="40">
        <v>632</v>
      </c>
      <c r="E16" s="40">
        <v>807545</v>
      </c>
      <c r="F16" s="40"/>
      <c r="G16" s="40">
        <v>326</v>
      </c>
      <c r="H16" s="41">
        <v>234509</v>
      </c>
      <c r="I16" s="19"/>
      <c r="J16" s="32"/>
      <c r="K16" s="32"/>
      <c r="L16" s="8"/>
      <c r="M16" s="8"/>
      <c r="N16" s="8"/>
    </row>
    <row r="17" spans="1:14" x14ac:dyDescent="0.2">
      <c r="A17" s="19"/>
      <c r="B17" s="28"/>
      <c r="C17" s="29"/>
      <c r="D17" s="40"/>
      <c r="E17" s="40"/>
      <c r="F17" s="40"/>
      <c r="G17" s="40"/>
      <c r="H17" s="41"/>
      <c r="I17" s="19"/>
      <c r="J17" s="32"/>
      <c r="K17" s="32"/>
      <c r="L17" s="8"/>
      <c r="M17" s="8"/>
      <c r="N17" s="8"/>
    </row>
    <row r="18" spans="1:14" x14ac:dyDescent="0.2">
      <c r="A18" s="19"/>
      <c r="B18" s="42" t="s">
        <v>18</v>
      </c>
      <c r="C18" s="29" t="s">
        <v>19</v>
      </c>
      <c r="D18" s="40">
        <v>557</v>
      </c>
      <c r="E18" s="40">
        <v>926120</v>
      </c>
      <c r="F18" s="40"/>
      <c r="G18" s="40">
        <v>606</v>
      </c>
      <c r="H18" s="41">
        <v>385697</v>
      </c>
      <c r="I18" s="19"/>
      <c r="J18" s="32"/>
      <c r="K18" s="32"/>
      <c r="L18" s="8"/>
      <c r="M18" s="8"/>
      <c r="N18" s="8"/>
    </row>
    <row r="19" spans="1:14" x14ac:dyDescent="0.2">
      <c r="A19" s="19"/>
      <c r="B19" s="28"/>
      <c r="C19" s="29"/>
      <c r="D19" s="30"/>
      <c r="E19" s="30"/>
      <c r="F19" s="30"/>
      <c r="G19" s="30"/>
      <c r="H19" s="31"/>
      <c r="I19" s="19"/>
      <c r="J19" s="32"/>
      <c r="K19" s="32"/>
      <c r="L19" s="8"/>
      <c r="M19" s="8"/>
      <c r="N19" s="8"/>
    </row>
    <row r="20" spans="1:14" x14ac:dyDescent="0.2">
      <c r="A20" s="19"/>
      <c r="B20" s="28" t="s">
        <v>20</v>
      </c>
      <c r="C20" s="37" t="s">
        <v>12</v>
      </c>
      <c r="D20" s="38">
        <f>SUM(D21:D26)</f>
        <v>658</v>
      </c>
      <c r="E20" s="38">
        <f>SUM(E21:E26)</f>
        <v>811332</v>
      </c>
      <c r="F20" s="38"/>
      <c r="G20" s="38">
        <f>SUM(G21:G26)</f>
        <v>475</v>
      </c>
      <c r="H20" s="39">
        <f>SUM(H21:H26)</f>
        <v>375199</v>
      </c>
      <c r="I20" s="19"/>
      <c r="J20" s="32"/>
      <c r="K20" s="32"/>
    </row>
    <row r="21" spans="1:14" x14ac:dyDescent="0.2">
      <c r="A21" s="19"/>
      <c r="B21" s="33"/>
      <c r="C21" s="29" t="s">
        <v>21</v>
      </c>
      <c r="D21" s="30">
        <v>69</v>
      </c>
      <c r="E21" s="30">
        <v>47271</v>
      </c>
      <c r="F21" s="30"/>
      <c r="G21" s="30">
        <v>49</v>
      </c>
      <c r="H21" s="31">
        <v>22006</v>
      </c>
      <c r="I21" s="19"/>
      <c r="J21" s="32"/>
      <c r="K21" s="32"/>
    </row>
    <row r="22" spans="1:14" x14ac:dyDescent="0.2">
      <c r="A22" s="19"/>
      <c r="B22" s="33"/>
      <c r="C22" s="29" t="s">
        <v>22</v>
      </c>
      <c r="D22" s="30">
        <v>117</v>
      </c>
      <c r="E22" s="30">
        <v>276324</v>
      </c>
      <c r="F22" s="30"/>
      <c r="G22" s="30">
        <v>73</v>
      </c>
      <c r="H22" s="31">
        <v>133123</v>
      </c>
      <c r="I22" s="19"/>
      <c r="J22" s="32"/>
      <c r="K22" s="32"/>
    </row>
    <row r="23" spans="1:14" x14ac:dyDescent="0.2">
      <c r="A23" s="19"/>
      <c r="B23" s="33"/>
      <c r="C23" s="29" t="s">
        <v>23</v>
      </c>
      <c r="D23" s="30">
        <v>220</v>
      </c>
      <c r="E23" s="30">
        <v>188748</v>
      </c>
      <c r="F23" s="30"/>
      <c r="G23" s="30">
        <v>142</v>
      </c>
      <c r="H23" s="31">
        <v>70211</v>
      </c>
      <c r="I23" s="19"/>
      <c r="J23" s="32"/>
      <c r="K23" s="32"/>
    </row>
    <row r="24" spans="1:14" x14ac:dyDescent="0.2">
      <c r="A24" s="19"/>
      <c r="B24" s="33"/>
      <c r="C24" s="29" t="s">
        <v>24</v>
      </c>
      <c r="D24" s="30">
        <v>16</v>
      </c>
      <c r="E24" s="30">
        <v>21429</v>
      </c>
      <c r="F24" s="30"/>
      <c r="G24" s="30">
        <v>31</v>
      </c>
      <c r="H24" s="31">
        <v>17737</v>
      </c>
      <c r="I24" s="19"/>
      <c r="J24" s="32"/>
      <c r="K24" s="32"/>
    </row>
    <row r="25" spans="1:14" x14ac:dyDescent="0.2">
      <c r="A25" s="19"/>
      <c r="B25" s="33"/>
      <c r="C25" s="29" t="s">
        <v>25</v>
      </c>
      <c r="D25" s="30">
        <v>183</v>
      </c>
      <c r="E25" s="30">
        <v>188616</v>
      </c>
      <c r="F25" s="30"/>
      <c r="G25" s="30">
        <v>139</v>
      </c>
      <c r="H25" s="31">
        <v>84667</v>
      </c>
      <c r="I25" s="19"/>
      <c r="J25" s="32"/>
      <c r="K25" s="32"/>
    </row>
    <row r="26" spans="1:14" x14ac:dyDescent="0.2">
      <c r="A26" s="19"/>
      <c r="B26" s="33"/>
      <c r="C26" s="29" t="s">
        <v>26</v>
      </c>
      <c r="D26" s="30">
        <v>53</v>
      </c>
      <c r="E26" s="30">
        <v>88944</v>
      </c>
      <c r="F26" s="30"/>
      <c r="G26" s="30">
        <v>41</v>
      </c>
      <c r="H26" s="31">
        <v>47455</v>
      </c>
      <c r="I26" s="19"/>
      <c r="J26" s="32"/>
      <c r="K26" s="32"/>
    </row>
    <row r="27" spans="1:14" x14ac:dyDescent="0.2">
      <c r="A27" s="19"/>
      <c r="B27" s="33"/>
      <c r="C27" s="34"/>
      <c r="D27" s="35"/>
      <c r="E27" s="35"/>
      <c r="F27" s="35"/>
      <c r="G27" s="35"/>
      <c r="H27" s="36"/>
      <c r="I27" s="19"/>
      <c r="J27" s="32"/>
      <c r="K27" s="32"/>
    </row>
    <row r="28" spans="1:14" x14ac:dyDescent="0.2">
      <c r="A28" s="19"/>
      <c r="B28" s="42" t="s">
        <v>27</v>
      </c>
      <c r="C28" s="37" t="s">
        <v>12</v>
      </c>
      <c r="D28" s="43">
        <f>SUM(D29:D30)</f>
        <v>2752</v>
      </c>
      <c r="E28" s="38">
        <f>SUM(E29:E30)</f>
        <v>3377993</v>
      </c>
      <c r="F28" s="38"/>
      <c r="G28" s="38">
        <f>SUM(G29:G30)</f>
        <v>1895</v>
      </c>
      <c r="H28" s="39">
        <f>SUM(H29:H30)</f>
        <v>1232156</v>
      </c>
      <c r="I28" s="19"/>
      <c r="J28" s="32"/>
      <c r="K28" s="32"/>
    </row>
    <row r="29" spans="1:14" x14ac:dyDescent="0.2">
      <c r="A29" s="19"/>
      <c r="B29" s="33"/>
      <c r="C29" s="29" t="s">
        <v>28</v>
      </c>
      <c r="D29" s="30">
        <v>2099</v>
      </c>
      <c r="E29" s="30">
        <v>2697118</v>
      </c>
      <c r="F29" s="30"/>
      <c r="G29" s="44">
        <v>1516</v>
      </c>
      <c r="H29" s="31">
        <v>1071228</v>
      </c>
      <c r="I29" s="19"/>
      <c r="J29" s="32"/>
      <c r="K29" s="32"/>
    </row>
    <row r="30" spans="1:14" x14ac:dyDescent="0.2">
      <c r="A30" s="19"/>
      <c r="B30" s="33"/>
      <c r="C30" s="29" t="s">
        <v>15</v>
      </c>
      <c r="D30" s="30">
        <v>653</v>
      </c>
      <c r="E30" s="30">
        <v>680875</v>
      </c>
      <c r="F30" s="30"/>
      <c r="G30" s="44">
        <v>379</v>
      </c>
      <c r="H30" s="31">
        <v>160928</v>
      </c>
      <c r="I30" s="19"/>
      <c r="J30" s="32"/>
      <c r="K30" s="32"/>
    </row>
    <row r="31" spans="1:14" x14ac:dyDescent="0.2">
      <c r="A31" s="19"/>
      <c r="B31" s="33"/>
      <c r="C31" s="34"/>
      <c r="D31" s="30"/>
      <c r="E31" s="30"/>
      <c r="F31" s="30"/>
      <c r="G31" s="30"/>
      <c r="H31" s="31"/>
      <c r="I31" s="19"/>
      <c r="J31" s="32"/>
      <c r="K31" s="32"/>
    </row>
    <row r="32" spans="1:14" x14ac:dyDescent="0.2">
      <c r="A32" s="19"/>
      <c r="B32" s="28" t="s">
        <v>29</v>
      </c>
      <c r="C32" s="37" t="s">
        <v>12</v>
      </c>
      <c r="D32" s="38">
        <f>SUM(D33:D34)</f>
        <v>455</v>
      </c>
      <c r="E32" s="38">
        <f>SUM(E33:E34)</f>
        <v>585469</v>
      </c>
      <c r="F32" s="38"/>
      <c r="G32" s="38">
        <f>SUM(G33:G34)</f>
        <v>321</v>
      </c>
      <c r="H32" s="39">
        <f>SUM(H33:H34)</f>
        <v>246636</v>
      </c>
      <c r="I32" s="19"/>
      <c r="J32" s="32"/>
      <c r="K32" s="32"/>
    </row>
    <row r="33" spans="1:11" x14ac:dyDescent="0.2">
      <c r="A33" s="19"/>
      <c r="B33" s="33"/>
      <c r="C33" s="45" t="s">
        <v>17</v>
      </c>
      <c r="D33" s="30">
        <v>358</v>
      </c>
      <c r="E33" s="30">
        <v>485678</v>
      </c>
      <c r="F33" s="30"/>
      <c r="G33" s="30">
        <v>284</v>
      </c>
      <c r="H33" s="31">
        <v>228329</v>
      </c>
      <c r="I33" s="19"/>
      <c r="J33" s="32"/>
      <c r="K33" s="32"/>
    </row>
    <row r="34" spans="1:11" x14ac:dyDescent="0.2">
      <c r="A34" s="19"/>
      <c r="B34" s="33"/>
      <c r="C34" s="29" t="s">
        <v>30</v>
      </c>
      <c r="D34" s="30">
        <v>97</v>
      </c>
      <c r="E34" s="30">
        <v>99791</v>
      </c>
      <c r="F34" s="30"/>
      <c r="G34" s="30">
        <v>37</v>
      </c>
      <c r="H34" s="31">
        <v>18307</v>
      </c>
      <c r="I34" s="19"/>
      <c r="J34" s="32"/>
      <c r="K34" s="32"/>
    </row>
    <row r="35" spans="1:11" x14ac:dyDescent="0.2">
      <c r="A35" s="19"/>
      <c r="B35" s="33"/>
      <c r="C35" s="34"/>
      <c r="D35" s="35"/>
      <c r="E35" s="35"/>
      <c r="F35" s="35"/>
      <c r="G35" s="35"/>
      <c r="H35" s="36"/>
      <c r="I35" s="19"/>
      <c r="J35" s="32"/>
      <c r="K35" s="32"/>
    </row>
    <row r="36" spans="1:11" x14ac:dyDescent="0.2">
      <c r="A36" s="19"/>
      <c r="B36" s="28" t="s">
        <v>31</v>
      </c>
      <c r="C36" s="37" t="s">
        <v>12</v>
      </c>
      <c r="D36" s="38">
        <f>SUM(D37:D38)</f>
        <v>287</v>
      </c>
      <c r="E36" s="38">
        <f>SUM(E37:E38)</f>
        <v>424056</v>
      </c>
      <c r="F36" s="38"/>
      <c r="G36" s="38">
        <f>SUM(G37:G38)</f>
        <v>228</v>
      </c>
      <c r="H36" s="39">
        <f>SUM(H37:H38)</f>
        <v>210825</v>
      </c>
      <c r="I36" s="19"/>
      <c r="J36" s="32"/>
      <c r="K36" s="32"/>
    </row>
    <row r="37" spans="1:11" x14ac:dyDescent="0.2">
      <c r="A37" s="19"/>
      <c r="B37" s="33"/>
      <c r="C37" s="29" t="s">
        <v>17</v>
      </c>
      <c r="D37" s="30">
        <v>152</v>
      </c>
      <c r="E37" s="30">
        <v>283725</v>
      </c>
      <c r="F37" s="30"/>
      <c r="G37" s="30">
        <v>120</v>
      </c>
      <c r="H37" s="31">
        <v>131600</v>
      </c>
      <c r="I37" s="19"/>
      <c r="J37" s="32"/>
      <c r="K37" s="32"/>
    </row>
    <row r="38" spans="1:11" x14ac:dyDescent="0.2">
      <c r="A38" s="19"/>
      <c r="B38" s="33"/>
      <c r="C38" s="29" t="s">
        <v>25</v>
      </c>
      <c r="D38" s="30">
        <v>135</v>
      </c>
      <c r="E38" s="30">
        <v>140331</v>
      </c>
      <c r="F38" s="30"/>
      <c r="G38" s="30">
        <v>108</v>
      </c>
      <c r="H38" s="31">
        <v>79225</v>
      </c>
      <c r="I38" s="19"/>
      <c r="J38" s="32"/>
      <c r="K38" s="32"/>
    </row>
    <row r="39" spans="1:11" x14ac:dyDescent="0.2">
      <c r="A39" s="19"/>
      <c r="B39" s="33"/>
      <c r="C39" s="34"/>
      <c r="D39" s="30"/>
      <c r="E39" s="30"/>
      <c r="F39" s="30"/>
      <c r="G39" s="30"/>
      <c r="H39" s="31"/>
      <c r="I39" s="19"/>
      <c r="J39" s="32"/>
      <c r="K39" s="32"/>
    </row>
    <row r="40" spans="1:11" x14ac:dyDescent="0.2">
      <c r="A40" s="19"/>
      <c r="B40" s="28" t="s">
        <v>32</v>
      </c>
      <c r="C40" s="37" t="s">
        <v>12</v>
      </c>
      <c r="D40" s="38">
        <f>SUM(D41:D42)</f>
        <v>690</v>
      </c>
      <c r="E40" s="38">
        <f>SUM(E41:E42)</f>
        <v>546156</v>
      </c>
      <c r="G40" s="38">
        <f>SUM(G41:G42)</f>
        <v>609</v>
      </c>
      <c r="H40" s="39">
        <f>SUM(H41:H42)</f>
        <v>291780</v>
      </c>
      <c r="I40" s="19"/>
      <c r="J40" s="32"/>
      <c r="K40" s="32"/>
    </row>
    <row r="41" spans="1:11" x14ac:dyDescent="0.2">
      <c r="A41" s="19"/>
      <c r="B41" s="33"/>
      <c r="C41" s="29" t="s">
        <v>23</v>
      </c>
      <c r="D41" s="30">
        <v>427</v>
      </c>
      <c r="E41" s="30">
        <v>337253</v>
      </c>
      <c r="F41" s="30"/>
      <c r="G41" s="30">
        <v>395</v>
      </c>
      <c r="H41" s="31">
        <v>185205</v>
      </c>
      <c r="I41" s="19"/>
      <c r="J41" s="32"/>
      <c r="K41" s="32"/>
    </row>
    <row r="42" spans="1:11" x14ac:dyDescent="0.2">
      <c r="A42" s="19"/>
      <c r="B42" s="33"/>
      <c r="C42" s="29" t="s">
        <v>24</v>
      </c>
      <c r="D42" s="30">
        <v>263</v>
      </c>
      <c r="E42" s="30">
        <v>208903</v>
      </c>
      <c r="F42" s="30"/>
      <c r="G42" s="30">
        <v>214</v>
      </c>
      <c r="H42" s="31">
        <v>106575</v>
      </c>
      <c r="I42" s="19"/>
      <c r="J42" s="32"/>
      <c r="K42" s="32"/>
    </row>
    <row r="43" spans="1:11" x14ac:dyDescent="0.2">
      <c r="A43" s="19"/>
      <c r="B43" s="33"/>
      <c r="C43" s="29"/>
      <c r="D43" s="30"/>
      <c r="E43" s="30"/>
      <c r="F43" s="30"/>
      <c r="G43" s="30"/>
      <c r="H43" s="31"/>
      <c r="I43" s="19"/>
      <c r="J43" s="32"/>
      <c r="K43" s="32"/>
    </row>
    <row r="44" spans="1:11" x14ac:dyDescent="0.2">
      <c r="A44" s="19"/>
      <c r="B44" s="28" t="s">
        <v>33</v>
      </c>
      <c r="C44" s="29" t="s">
        <v>34</v>
      </c>
      <c r="D44" s="40">
        <v>12</v>
      </c>
      <c r="E44" s="40">
        <v>28501</v>
      </c>
      <c r="F44" s="40"/>
      <c r="G44" s="40">
        <v>12</v>
      </c>
      <c r="H44" s="41">
        <v>21684</v>
      </c>
      <c r="I44" s="19"/>
      <c r="J44" s="32"/>
      <c r="K44" s="32"/>
    </row>
    <row r="45" spans="1:11" x14ac:dyDescent="0.2">
      <c r="A45" s="19"/>
      <c r="B45" s="9"/>
      <c r="C45" s="10"/>
      <c r="D45" s="46"/>
      <c r="E45" s="46"/>
      <c r="F45" s="46"/>
      <c r="G45" s="46"/>
      <c r="H45" s="47"/>
      <c r="I45" s="27"/>
      <c r="K45" s="48"/>
    </row>
    <row r="46" spans="1:11" x14ac:dyDescent="0.2">
      <c r="A46" s="19"/>
      <c r="B46" s="28" t="s">
        <v>35</v>
      </c>
      <c r="D46" s="38">
        <f>D40+D44+D36+D32+D20+D18+D16+D11+D9+D28</f>
        <v>9855</v>
      </c>
      <c r="E46" s="38">
        <f>E40+E44+E36+E32+E20+E18+E16+E11+E9+E28</f>
        <v>11852215</v>
      </c>
      <c r="F46" s="38"/>
      <c r="G46" s="38">
        <f>G40+G44+G36+G32+G20+G18+G16+G11+G9+G28</f>
        <v>7414</v>
      </c>
      <c r="H46" s="39">
        <f>H40+H44+H36+H32+H20+H18+H16+H11+H9+H28</f>
        <v>4882707</v>
      </c>
      <c r="I46" s="19"/>
    </row>
    <row r="47" spans="1:11" x14ac:dyDescent="0.2">
      <c r="A47" s="19"/>
      <c r="B47" s="49" t="s">
        <v>36</v>
      </c>
      <c r="D47" s="38"/>
      <c r="E47" s="38">
        <f>E46*K47</f>
        <v>199363975.11630002</v>
      </c>
      <c r="F47" s="38"/>
      <c r="G47" s="38"/>
      <c r="H47" s="39">
        <f>H46*K47</f>
        <v>82131135.559740007</v>
      </c>
      <c r="I47" s="19"/>
      <c r="J47" s="50" t="s">
        <v>37</v>
      </c>
      <c r="K47" s="51">
        <v>16.820820000000001</v>
      </c>
    </row>
    <row r="48" spans="1:11" x14ac:dyDescent="0.2">
      <c r="B48" s="24"/>
      <c r="C48" s="25"/>
      <c r="D48" s="52"/>
      <c r="E48" s="52"/>
      <c r="F48" s="52"/>
      <c r="G48" s="52"/>
      <c r="H48" s="53"/>
      <c r="I48" s="19"/>
    </row>
    <row r="51" spans="2:6" x14ac:dyDescent="0.2">
      <c r="B51" s="2" t="s">
        <v>38</v>
      </c>
    </row>
    <row r="52" spans="2:6" x14ac:dyDescent="0.2">
      <c r="B52" s="3" t="s">
        <v>39</v>
      </c>
    </row>
    <row r="53" spans="2:6" x14ac:dyDescent="0.2">
      <c r="B53" s="4" t="s">
        <v>40</v>
      </c>
    </row>
    <row r="54" spans="2:6" x14ac:dyDescent="0.2">
      <c r="B54" s="6" t="str">
        <f>[1]ARES528!$B$4</f>
        <v xml:space="preserve">     (al 31 de marzo de 2004, montos expresados en U.F.)</v>
      </c>
    </row>
    <row r="55" spans="2:6" x14ac:dyDescent="0.2">
      <c r="B55" s="9"/>
      <c r="C55" s="10"/>
      <c r="D55" s="10"/>
      <c r="E55" s="11"/>
      <c r="F55" s="27"/>
    </row>
    <row r="56" spans="2:6" x14ac:dyDescent="0.2">
      <c r="B56" s="20"/>
      <c r="D56" s="17" t="s">
        <v>41</v>
      </c>
      <c r="E56" s="54"/>
      <c r="F56" s="19"/>
    </row>
    <row r="57" spans="2:6" x14ac:dyDescent="0.2">
      <c r="B57" s="12" t="s">
        <v>3</v>
      </c>
      <c r="C57" s="13" t="s">
        <v>4</v>
      </c>
      <c r="D57" s="4" t="s">
        <v>42</v>
      </c>
      <c r="E57" s="55"/>
      <c r="F57" s="19"/>
    </row>
    <row r="58" spans="2:6" x14ac:dyDescent="0.2">
      <c r="B58" s="56"/>
      <c r="C58" s="57"/>
      <c r="D58" s="21" t="s">
        <v>43</v>
      </c>
      <c r="E58" s="23" t="s">
        <v>44</v>
      </c>
      <c r="F58" s="19"/>
    </row>
    <row r="59" spans="2:6" x14ac:dyDescent="0.2">
      <c r="B59" s="24"/>
      <c r="C59" s="25"/>
      <c r="D59" s="25"/>
      <c r="E59" s="26"/>
      <c r="F59" s="27"/>
    </row>
    <row r="60" spans="2:6" x14ac:dyDescent="0.2">
      <c r="B60" s="28" t="s">
        <v>9</v>
      </c>
      <c r="C60" s="29" t="s">
        <v>10</v>
      </c>
      <c r="D60" s="35">
        <v>1</v>
      </c>
      <c r="E60" s="36">
        <v>386</v>
      </c>
      <c r="F60" s="19"/>
    </row>
    <row r="61" spans="2:6" x14ac:dyDescent="0.2">
      <c r="B61" s="33"/>
      <c r="D61" s="30"/>
      <c r="E61" s="31"/>
      <c r="F61" s="19"/>
    </row>
    <row r="62" spans="2:6" x14ac:dyDescent="0.2">
      <c r="B62" s="42" t="s">
        <v>27</v>
      </c>
      <c r="C62" s="29" t="s">
        <v>28</v>
      </c>
      <c r="D62" s="30">
        <v>17</v>
      </c>
      <c r="E62" s="31">
        <v>1844</v>
      </c>
      <c r="F62" s="19"/>
    </row>
    <row r="63" spans="2:6" x14ac:dyDescent="0.2">
      <c r="B63" s="28"/>
      <c r="C63" s="29"/>
      <c r="D63" s="58"/>
      <c r="E63" s="59"/>
      <c r="F63" s="19"/>
    </row>
    <row r="64" spans="2:6" x14ac:dyDescent="0.2">
      <c r="B64" s="28" t="s">
        <v>29</v>
      </c>
      <c r="C64" s="29" t="s">
        <v>15</v>
      </c>
      <c r="D64" s="30">
        <v>4</v>
      </c>
      <c r="E64" s="31">
        <v>300</v>
      </c>
      <c r="F64" s="19"/>
    </row>
    <row r="65" spans="2:14" x14ac:dyDescent="0.2">
      <c r="B65" s="28"/>
      <c r="C65" s="29"/>
      <c r="D65" s="30"/>
      <c r="E65" s="31"/>
      <c r="F65" s="19"/>
    </row>
    <row r="66" spans="2:14" x14ac:dyDescent="0.2">
      <c r="B66" s="60" t="s">
        <v>33</v>
      </c>
      <c r="C66" s="61" t="s">
        <v>21</v>
      </c>
      <c r="D66" s="62">
        <v>3</v>
      </c>
      <c r="E66" s="63">
        <v>803</v>
      </c>
      <c r="F66" s="19"/>
    </row>
    <row r="67" spans="2:14" x14ac:dyDescent="0.2">
      <c r="B67" s="64"/>
      <c r="C67" s="65"/>
      <c r="D67" s="66"/>
      <c r="E67" s="67"/>
      <c r="F67" s="27"/>
    </row>
    <row r="68" spans="2:14" x14ac:dyDescent="0.2">
      <c r="B68" s="28" t="s">
        <v>35</v>
      </c>
      <c r="D68" s="38">
        <f>SUM(D60:D66)</f>
        <v>25</v>
      </c>
      <c r="E68" s="39">
        <f>SUM(E60:E66)</f>
        <v>3333</v>
      </c>
      <c r="F68" s="19"/>
    </row>
    <row r="69" spans="2:14" x14ac:dyDescent="0.2">
      <c r="B69" s="49" t="s">
        <v>36</v>
      </c>
      <c r="D69" s="38"/>
      <c r="E69" s="39">
        <f>E68*H69</f>
        <v>56063.793060000004</v>
      </c>
      <c r="F69" s="19"/>
      <c r="G69" s="50" t="s">
        <v>37</v>
      </c>
      <c r="H69" s="68">
        <v>16.820820000000001</v>
      </c>
    </row>
    <row r="70" spans="2:14" x14ac:dyDescent="0.2">
      <c r="B70" s="24"/>
      <c r="C70" s="25"/>
      <c r="D70" s="69"/>
      <c r="E70" s="70"/>
      <c r="F70" s="27"/>
    </row>
    <row r="73" spans="2:14" x14ac:dyDescent="0.2">
      <c r="B73" s="71" t="s">
        <v>45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</row>
    <row r="74" spans="2:14" x14ac:dyDescent="0.2">
      <c r="B74" s="73" t="s">
        <v>46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</row>
    <row r="75" spans="2:14" x14ac:dyDescent="0.2">
      <c r="B75" s="74" t="s">
        <v>47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</row>
    <row r="76" spans="2:14" x14ac:dyDescent="0.2">
      <c r="B76" s="75" t="str">
        <f>[1]ARES528!$B$4</f>
        <v xml:space="preserve">     (al 31 de marzo de 2004, montos expresados en U.F.)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</row>
    <row r="77" spans="2:14" x14ac:dyDescent="0.2">
      <c r="B77" s="76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8"/>
      <c r="N77" s="79"/>
    </row>
    <row r="78" spans="2:14" x14ac:dyDescent="0.2">
      <c r="B78" s="80"/>
      <c r="C78" s="72"/>
      <c r="D78" s="81"/>
      <c r="E78" s="82"/>
      <c r="F78" s="82" t="s">
        <v>48</v>
      </c>
      <c r="G78" s="82"/>
      <c r="H78" s="81"/>
      <c r="I78" s="81"/>
      <c r="J78" s="72"/>
      <c r="K78" s="83" t="s">
        <v>49</v>
      </c>
      <c r="L78" s="83"/>
      <c r="M78" s="84"/>
      <c r="N78" s="85"/>
    </row>
    <row r="79" spans="2:14" x14ac:dyDescent="0.2">
      <c r="B79" s="86" t="s">
        <v>3</v>
      </c>
      <c r="C79" s="87" t="s">
        <v>4</v>
      </c>
      <c r="D79" s="88"/>
      <c r="E79" s="89" t="s">
        <v>50</v>
      </c>
      <c r="F79" s="88"/>
      <c r="G79" s="90"/>
      <c r="H79" s="91" t="s">
        <v>51</v>
      </c>
      <c r="I79" s="88"/>
      <c r="J79" s="72"/>
      <c r="K79" s="72"/>
      <c r="L79" s="72"/>
      <c r="M79" s="92"/>
      <c r="N79" s="85"/>
    </row>
    <row r="80" spans="2:14" x14ac:dyDescent="0.2">
      <c r="B80" s="80"/>
      <c r="C80" s="72"/>
      <c r="D80" s="74" t="s">
        <v>52</v>
      </c>
      <c r="E80" s="93"/>
      <c r="F80" s="94" t="s">
        <v>53</v>
      </c>
      <c r="G80" s="95"/>
      <c r="H80" s="74" t="s">
        <v>54</v>
      </c>
      <c r="I80" s="96"/>
      <c r="J80" s="96"/>
      <c r="K80" s="74" t="s">
        <v>52</v>
      </c>
      <c r="L80" s="93"/>
      <c r="M80" s="97" t="s">
        <v>53</v>
      </c>
      <c r="N80" s="85"/>
    </row>
    <row r="81" spans="2:14" x14ac:dyDescent="0.2">
      <c r="B81" s="80"/>
      <c r="C81" s="72"/>
      <c r="D81" s="98" t="s">
        <v>7</v>
      </c>
      <c r="E81" s="94" t="s">
        <v>8</v>
      </c>
      <c r="F81" s="98" t="s">
        <v>8</v>
      </c>
      <c r="G81" s="98"/>
      <c r="H81" s="94" t="s">
        <v>7</v>
      </c>
      <c r="I81" s="94" t="s">
        <v>55</v>
      </c>
      <c r="J81" s="94"/>
      <c r="K81" s="98" t="s">
        <v>7</v>
      </c>
      <c r="L81" s="98" t="s">
        <v>56</v>
      </c>
      <c r="M81" s="99" t="s">
        <v>8</v>
      </c>
      <c r="N81" s="85"/>
    </row>
    <row r="82" spans="2:14" x14ac:dyDescent="0.2"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2"/>
      <c r="N82" s="79"/>
    </row>
    <row r="83" spans="2:14" x14ac:dyDescent="0.2">
      <c r="B83" s="103" t="s">
        <v>57</v>
      </c>
      <c r="C83" s="104" t="s">
        <v>14</v>
      </c>
      <c r="D83" s="105">
        <v>1733</v>
      </c>
      <c r="E83" s="105">
        <v>892396</v>
      </c>
      <c r="F83" s="105">
        <v>137727</v>
      </c>
      <c r="G83" s="105"/>
      <c r="H83" s="105">
        <v>0</v>
      </c>
      <c r="I83" s="105">
        <v>0</v>
      </c>
      <c r="J83" s="105"/>
      <c r="K83" s="105">
        <v>1186</v>
      </c>
      <c r="L83" s="105">
        <v>125298</v>
      </c>
      <c r="M83" s="106">
        <v>51002</v>
      </c>
      <c r="N83" s="72"/>
    </row>
    <row r="84" spans="2:14" x14ac:dyDescent="0.2">
      <c r="B84" s="107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9"/>
      <c r="N84" s="79"/>
    </row>
    <row r="85" spans="2:14" x14ac:dyDescent="0.2">
      <c r="B85" s="103" t="s">
        <v>58</v>
      </c>
      <c r="C85" s="110" t="s">
        <v>12</v>
      </c>
      <c r="D85" s="111">
        <f>SUM(D86:D88)</f>
        <v>12</v>
      </c>
      <c r="E85" s="111">
        <f>SUM(E86:E88)</f>
        <v>4356</v>
      </c>
      <c r="F85" s="111">
        <f>SUM(F86:F88)</f>
        <v>0</v>
      </c>
      <c r="G85" s="111"/>
      <c r="H85" s="111">
        <f>SUM(H86:H88)</f>
        <v>5</v>
      </c>
      <c r="I85" s="111">
        <f>SUM(I86:I88)</f>
        <v>919</v>
      </c>
      <c r="J85" s="111"/>
      <c r="K85" s="111">
        <f>SUM(K86:K88)</f>
        <v>13</v>
      </c>
      <c r="L85" s="111">
        <f>SUM(L86:L88)</f>
        <v>873</v>
      </c>
      <c r="M85" s="112">
        <f>SUM(M86:M88)</f>
        <v>0</v>
      </c>
      <c r="N85" s="72"/>
    </row>
    <row r="86" spans="2:14" x14ac:dyDescent="0.2">
      <c r="B86" s="113"/>
      <c r="C86" s="104" t="s">
        <v>30</v>
      </c>
      <c r="D86" s="114">
        <v>0</v>
      </c>
      <c r="E86" s="114">
        <v>0</v>
      </c>
      <c r="F86" s="114">
        <v>0</v>
      </c>
      <c r="G86" s="114"/>
      <c r="H86" s="114">
        <v>1</v>
      </c>
      <c r="I86" s="114">
        <v>69</v>
      </c>
      <c r="J86" s="114"/>
      <c r="K86" s="114">
        <v>1</v>
      </c>
      <c r="L86" s="114">
        <v>229</v>
      </c>
      <c r="M86" s="115">
        <v>0</v>
      </c>
      <c r="N86" s="72"/>
    </row>
    <row r="87" spans="2:14" x14ac:dyDescent="0.2">
      <c r="B87" s="113"/>
      <c r="C87" s="104" t="s">
        <v>24</v>
      </c>
      <c r="D87" s="114">
        <v>12</v>
      </c>
      <c r="E87" s="114">
        <v>4356</v>
      </c>
      <c r="F87" s="114">
        <v>0</v>
      </c>
      <c r="G87" s="114"/>
      <c r="H87" s="114">
        <v>3</v>
      </c>
      <c r="I87" s="114">
        <v>825</v>
      </c>
      <c r="J87" s="114"/>
      <c r="K87" s="114">
        <v>3</v>
      </c>
      <c r="L87" s="114">
        <v>165</v>
      </c>
      <c r="M87" s="115">
        <v>0</v>
      </c>
      <c r="N87" s="72"/>
    </row>
    <row r="88" spans="2:14" x14ac:dyDescent="0.2">
      <c r="B88" s="113"/>
      <c r="C88" s="116" t="s">
        <v>34</v>
      </c>
      <c r="D88" s="114">
        <v>0</v>
      </c>
      <c r="E88" s="114">
        <v>0</v>
      </c>
      <c r="F88" s="114">
        <v>0</v>
      </c>
      <c r="G88" s="114"/>
      <c r="H88" s="114">
        <v>1</v>
      </c>
      <c r="I88" s="114">
        <v>25</v>
      </c>
      <c r="J88" s="114"/>
      <c r="K88" s="114">
        <v>9</v>
      </c>
      <c r="L88" s="114">
        <v>479</v>
      </c>
      <c r="M88" s="115">
        <v>0</v>
      </c>
      <c r="N88" s="72"/>
    </row>
    <row r="89" spans="2:14" x14ac:dyDescent="0.2">
      <c r="B89" s="113"/>
      <c r="C89" s="116"/>
      <c r="D89" s="114"/>
      <c r="E89" s="114"/>
      <c r="F89" s="114"/>
      <c r="G89" s="114"/>
      <c r="H89" s="114"/>
      <c r="I89" s="114"/>
      <c r="J89" s="114"/>
      <c r="K89" s="114"/>
      <c r="L89" s="114"/>
      <c r="M89" s="115"/>
      <c r="N89" s="72"/>
    </row>
    <row r="90" spans="2:14" x14ac:dyDescent="0.2">
      <c r="B90" s="103" t="s">
        <v>11</v>
      </c>
      <c r="C90" s="110" t="s">
        <v>59</v>
      </c>
      <c r="D90" s="111">
        <f>SUM(D91:D95)</f>
        <v>286</v>
      </c>
      <c r="E90" s="111">
        <f>SUM(E91:E95)</f>
        <v>173132</v>
      </c>
      <c r="F90" s="111">
        <f>SUM(F91:F95)</f>
        <v>0</v>
      </c>
      <c r="G90" s="111"/>
      <c r="H90" s="111">
        <f>SUM(H91:H95)</f>
        <v>6</v>
      </c>
      <c r="I90" s="111">
        <f>SUM(I91:I95)</f>
        <v>297</v>
      </c>
      <c r="J90" s="111"/>
      <c r="K90" s="111">
        <f>SUM(K91:K95)</f>
        <v>22</v>
      </c>
      <c r="L90" s="111">
        <f>SUM(L91:L95)</f>
        <v>8922</v>
      </c>
      <c r="M90" s="112">
        <f>SUM(M91:M95)</f>
        <v>0</v>
      </c>
      <c r="N90" s="72"/>
    </row>
    <row r="91" spans="2:14" x14ac:dyDescent="0.2">
      <c r="B91" s="113"/>
      <c r="C91" s="104" t="s">
        <v>60</v>
      </c>
      <c r="D91" s="114">
        <v>3</v>
      </c>
      <c r="E91" s="117">
        <v>2809</v>
      </c>
      <c r="F91" s="114">
        <v>0</v>
      </c>
      <c r="G91" s="114"/>
      <c r="H91" s="114">
        <v>0</v>
      </c>
      <c r="I91" s="114">
        <v>0</v>
      </c>
      <c r="J91" s="114"/>
      <c r="K91" s="114">
        <v>0</v>
      </c>
      <c r="L91" s="114">
        <v>0</v>
      </c>
      <c r="M91" s="115">
        <v>0</v>
      </c>
      <c r="N91" s="72"/>
    </row>
    <row r="92" spans="2:14" x14ac:dyDescent="0.2">
      <c r="B92" s="113"/>
      <c r="C92" s="104" t="s">
        <v>61</v>
      </c>
      <c r="D92" s="114">
        <v>6</v>
      </c>
      <c r="E92" s="114">
        <v>2633</v>
      </c>
      <c r="F92" s="114">
        <v>0</v>
      </c>
      <c r="G92" s="114"/>
      <c r="H92" s="114">
        <v>0</v>
      </c>
      <c r="I92" s="114">
        <v>0</v>
      </c>
      <c r="J92" s="114"/>
      <c r="K92" s="114">
        <v>1</v>
      </c>
      <c r="L92" s="114">
        <v>1242</v>
      </c>
      <c r="M92" s="115">
        <v>0</v>
      </c>
      <c r="N92" s="72"/>
    </row>
    <row r="93" spans="2:14" x14ac:dyDescent="0.2">
      <c r="B93" s="113"/>
      <c r="C93" s="104" t="s">
        <v>22</v>
      </c>
      <c r="D93" s="114">
        <v>73</v>
      </c>
      <c r="E93" s="114">
        <v>40102</v>
      </c>
      <c r="F93" s="114">
        <v>0</v>
      </c>
      <c r="G93" s="114"/>
      <c r="H93" s="114">
        <v>0</v>
      </c>
      <c r="I93" s="114">
        <v>0</v>
      </c>
      <c r="J93" s="114"/>
      <c r="K93" s="114">
        <v>7</v>
      </c>
      <c r="L93" s="114">
        <v>4789</v>
      </c>
      <c r="M93" s="115">
        <v>0</v>
      </c>
      <c r="N93" s="72"/>
    </row>
    <row r="94" spans="2:14" x14ac:dyDescent="0.2">
      <c r="B94" s="113"/>
      <c r="C94" s="104" t="s">
        <v>34</v>
      </c>
      <c r="D94" s="114">
        <v>5</v>
      </c>
      <c r="E94" s="114">
        <v>0</v>
      </c>
      <c r="F94" s="114">
        <v>0</v>
      </c>
      <c r="G94" s="114"/>
      <c r="H94" s="114">
        <v>1</v>
      </c>
      <c r="I94" s="114">
        <v>0</v>
      </c>
      <c r="J94" s="114"/>
      <c r="K94" s="114">
        <v>0</v>
      </c>
      <c r="L94" s="114">
        <v>0</v>
      </c>
      <c r="M94" s="115">
        <v>0</v>
      </c>
      <c r="N94" s="72"/>
    </row>
    <row r="95" spans="2:14" x14ac:dyDescent="0.2">
      <c r="B95" s="113"/>
      <c r="C95" s="104" t="s">
        <v>28</v>
      </c>
      <c r="D95" s="114">
        <v>199</v>
      </c>
      <c r="E95" s="114">
        <v>127588</v>
      </c>
      <c r="F95" s="114">
        <v>0</v>
      </c>
      <c r="G95" s="114"/>
      <c r="H95" s="114">
        <v>5</v>
      </c>
      <c r="I95" s="114">
        <v>297</v>
      </c>
      <c r="J95" s="114"/>
      <c r="K95" s="114">
        <v>14</v>
      </c>
      <c r="L95" s="114">
        <v>2891</v>
      </c>
      <c r="M95" s="115">
        <v>0</v>
      </c>
      <c r="N95" s="72"/>
    </row>
    <row r="96" spans="2:14" x14ac:dyDescent="0.2">
      <c r="B96" s="113"/>
      <c r="C96" s="104"/>
      <c r="D96" s="114"/>
      <c r="E96" s="114"/>
      <c r="F96" s="114"/>
      <c r="G96" s="114"/>
      <c r="H96" s="114"/>
      <c r="I96" s="114"/>
      <c r="J96" s="114"/>
      <c r="K96" s="114"/>
      <c r="L96" s="114"/>
      <c r="M96" s="115"/>
      <c r="N96" s="72"/>
    </row>
    <row r="97" spans="2:14" x14ac:dyDescent="0.2">
      <c r="B97" s="103" t="s">
        <v>16</v>
      </c>
      <c r="C97" s="110" t="s">
        <v>12</v>
      </c>
      <c r="D97" s="111">
        <f>SUM(D98:D99)</f>
        <v>3748</v>
      </c>
      <c r="E97" s="111">
        <f>SUM(E98:E99)</f>
        <v>2822448</v>
      </c>
      <c r="F97" s="111">
        <f>SUM(F98:F99)</f>
        <v>93136</v>
      </c>
      <c r="G97" s="111"/>
      <c r="H97" s="111">
        <f>SUM(H98:H99)</f>
        <v>46</v>
      </c>
      <c r="I97" s="111">
        <f>SUM(I98:I99)</f>
        <v>8580</v>
      </c>
      <c r="J97" s="111"/>
      <c r="K97" s="111">
        <f>SUM(K98:K99)</f>
        <v>92</v>
      </c>
      <c r="L97" s="111">
        <f>SUM(L98:L99)</f>
        <v>27921</v>
      </c>
      <c r="M97" s="112">
        <f>SUM(M98:M99)</f>
        <v>53232</v>
      </c>
      <c r="N97" s="72"/>
    </row>
    <row r="98" spans="2:14" x14ac:dyDescent="0.2">
      <c r="B98" s="113"/>
      <c r="C98" s="104" t="s">
        <v>17</v>
      </c>
      <c r="D98" s="114">
        <v>3647</v>
      </c>
      <c r="E98" s="114">
        <v>2748086</v>
      </c>
      <c r="F98" s="114">
        <v>93136</v>
      </c>
      <c r="G98" s="114"/>
      <c r="H98" s="114">
        <v>44</v>
      </c>
      <c r="I98" s="114">
        <v>7419</v>
      </c>
      <c r="J98" s="114"/>
      <c r="K98" s="114">
        <v>92</v>
      </c>
      <c r="L98" s="114">
        <v>27921</v>
      </c>
      <c r="M98" s="115">
        <v>53232</v>
      </c>
      <c r="N98" s="72"/>
    </row>
    <row r="99" spans="2:14" x14ac:dyDescent="0.2">
      <c r="B99" s="113"/>
      <c r="C99" s="118" t="s">
        <v>30</v>
      </c>
      <c r="D99" s="119">
        <v>101</v>
      </c>
      <c r="E99" s="119">
        <v>74362</v>
      </c>
      <c r="F99" s="119">
        <v>0</v>
      </c>
      <c r="G99" s="119"/>
      <c r="H99" s="119">
        <v>2</v>
      </c>
      <c r="I99" s="119">
        <v>1161</v>
      </c>
      <c r="J99" s="119"/>
      <c r="K99" s="119">
        <v>0</v>
      </c>
      <c r="L99" s="119">
        <v>0</v>
      </c>
      <c r="M99" s="120">
        <v>0</v>
      </c>
      <c r="N99" s="72"/>
    </row>
    <row r="100" spans="2:14" x14ac:dyDescent="0.2">
      <c r="B100" s="113"/>
      <c r="C100" s="118"/>
      <c r="D100" s="119"/>
      <c r="E100" s="119"/>
      <c r="F100" s="119"/>
      <c r="G100" s="119"/>
      <c r="H100" s="119"/>
      <c r="I100" s="119"/>
      <c r="J100" s="119"/>
      <c r="K100" s="119"/>
      <c r="L100" s="119"/>
      <c r="M100" s="120"/>
      <c r="N100" s="72"/>
    </row>
    <row r="101" spans="2:14" x14ac:dyDescent="0.2">
      <c r="B101" s="103" t="s">
        <v>27</v>
      </c>
      <c r="C101" s="110" t="s">
        <v>12</v>
      </c>
      <c r="D101" s="111">
        <f>SUM(D102:D110)</f>
        <v>8001</v>
      </c>
      <c r="E101" s="111">
        <f>SUM(E102:E110)</f>
        <v>5788255</v>
      </c>
      <c r="F101" s="111">
        <f t="shared" ref="F101:M101" si="0">SUM(F102:F110)</f>
        <v>102653</v>
      </c>
      <c r="G101" s="111"/>
      <c r="H101" s="111">
        <f t="shared" si="0"/>
        <v>171</v>
      </c>
      <c r="I101" s="111">
        <f t="shared" si="0"/>
        <v>33529</v>
      </c>
      <c r="J101" s="111"/>
      <c r="K101" s="111">
        <f t="shared" si="0"/>
        <v>1280</v>
      </c>
      <c r="L101" s="111">
        <f t="shared" si="0"/>
        <v>220671</v>
      </c>
      <c r="M101" s="112">
        <f t="shared" si="0"/>
        <v>97619</v>
      </c>
      <c r="N101" s="72"/>
    </row>
    <row r="102" spans="2:14" x14ac:dyDescent="0.2">
      <c r="B102" s="113"/>
      <c r="C102" s="104" t="s">
        <v>60</v>
      </c>
      <c r="D102" s="114">
        <v>1</v>
      </c>
      <c r="E102" s="119">
        <v>465</v>
      </c>
      <c r="F102" s="119">
        <v>0</v>
      </c>
      <c r="G102" s="119"/>
      <c r="H102" s="119">
        <v>0</v>
      </c>
      <c r="I102" s="119">
        <v>0</v>
      </c>
      <c r="J102" s="119"/>
      <c r="K102" s="119">
        <v>0</v>
      </c>
      <c r="L102" s="119">
        <v>0</v>
      </c>
      <c r="M102" s="115">
        <v>0</v>
      </c>
      <c r="N102" s="72"/>
    </row>
    <row r="103" spans="2:14" x14ac:dyDescent="0.2">
      <c r="B103" s="113"/>
      <c r="C103" s="116" t="s">
        <v>61</v>
      </c>
      <c r="D103" s="114">
        <v>1</v>
      </c>
      <c r="E103" s="114">
        <v>798</v>
      </c>
      <c r="F103" s="114">
        <v>0</v>
      </c>
      <c r="G103" s="114"/>
      <c r="H103" s="114">
        <v>1</v>
      </c>
      <c r="I103" s="114">
        <v>418</v>
      </c>
      <c r="J103" s="114"/>
      <c r="K103" s="114">
        <v>3</v>
      </c>
      <c r="L103" s="114">
        <v>1744</v>
      </c>
      <c r="M103" s="115">
        <v>0</v>
      </c>
      <c r="N103" s="72"/>
    </row>
    <row r="104" spans="2:14" x14ac:dyDescent="0.2">
      <c r="B104" s="80"/>
      <c r="C104" s="118" t="s">
        <v>62</v>
      </c>
      <c r="D104" s="119">
        <v>1</v>
      </c>
      <c r="E104" s="119">
        <v>854</v>
      </c>
      <c r="F104" s="119">
        <v>0</v>
      </c>
      <c r="G104" s="119"/>
      <c r="H104" s="119">
        <v>0</v>
      </c>
      <c r="I104" s="119">
        <v>0</v>
      </c>
      <c r="J104" s="119"/>
      <c r="K104" s="119">
        <v>0</v>
      </c>
      <c r="L104" s="119">
        <v>0</v>
      </c>
      <c r="M104" s="120">
        <v>0</v>
      </c>
      <c r="N104" s="72"/>
    </row>
    <row r="105" spans="2:14" x14ac:dyDescent="0.2">
      <c r="B105" s="113"/>
      <c r="C105" s="116" t="s">
        <v>63</v>
      </c>
      <c r="D105" s="114">
        <v>0</v>
      </c>
      <c r="E105" s="114">
        <v>0</v>
      </c>
      <c r="F105" s="114">
        <v>0</v>
      </c>
      <c r="G105" s="114"/>
      <c r="H105" s="114">
        <v>0</v>
      </c>
      <c r="I105" s="114">
        <v>0</v>
      </c>
      <c r="J105" s="114"/>
      <c r="K105" s="114">
        <v>1</v>
      </c>
      <c r="L105" s="114">
        <v>380</v>
      </c>
      <c r="M105" s="115">
        <v>0</v>
      </c>
      <c r="N105" s="72"/>
    </row>
    <row r="106" spans="2:14" x14ac:dyDescent="0.2">
      <c r="B106" s="113"/>
      <c r="C106" s="104" t="s">
        <v>30</v>
      </c>
      <c r="D106" s="114">
        <f>70+195</f>
        <v>265</v>
      </c>
      <c r="E106" s="114">
        <f>55763+147109</f>
        <v>202872</v>
      </c>
      <c r="F106" s="114">
        <v>9214</v>
      </c>
      <c r="G106" s="114"/>
      <c r="H106" s="114">
        <f>1+1</f>
        <v>2</v>
      </c>
      <c r="I106" s="114">
        <f>76+1023</f>
        <v>1099</v>
      </c>
      <c r="J106" s="114"/>
      <c r="K106" s="114">
        <v>20</v>
      </c>
      <c r="L106" s="114">
        <v>11183</v>
      </c>
      <c r="M106" s="115">
        <v>7222</v>
      </c>
      <c r="N106" s="72"/>
    </row>
    <row r="107" spans="2:14" x14ac:dyDescent="0.2">
      <c r="B107" s="113"/>
      <c r="C107" s="104" t="s">
        <v>24</v>
      </c>
      <c r="D107" s="114">
        <v>151</v>
      </c>
      <c r="E107" s="114">
        <v>59657</v>
      </c>
      <c r="F107" s="114">
        <v>10745</v>
      </c>
      <c r="G107" s="114"/>
      <c r="H107" s="114">
        <v>0</v>
      </c>
      <c r="I107" s="114">
        <v>0</v>
      </c>
      <c r="J107" s="114"/>
      <c r="K107" s="114">
        <v>38</v>
      </c>
      <c r="L107" s="114">
        <v>3380</v>
      </c>
      <c r="M107" s="115">
        <v>10338</v>
      </c>
      <c r="N107" s="72"/>
    </row>
    <row r="108" spans="2:14" x14ac:dyDescent="0.2">
      <c r="B108" s="113"/>
      <c r="C108" s="116" t="s">
        <v>14</v>
      </c>
      <c r="D108" s="114">
        <v>5241</v>
      </c>
      <c r="E108" s="119">
        <v>3681200</v>
      </c>
      <c r="F108" s="119">
        <v>0</v>
      </c>
      <c r="G108" s="119"/>
      <c r="H108" s="119">
        <v>125</v>
      </c>
      <c r="I108" s="119">
        <v>24760</v>
      </c>
      <c r="J108" s="119"/>
      <c r="K108" s="119">
        <v>513</v>
      </c>
      <c r="L108" s="119">
        <v>92583</v>
      </c>
      <c r="M108" s="115">
        <v>27658</v>
      </c>
      <c r="N108" s="72"/>
    </row>
    <row r="109" spans="2:14" x14ac:dyDescent="0.2">
      <c r="B109" s="113"/>
      <c r="C109" s="104" t="s">
        <v>28</v>
      </c>
      <c r="D109" s="114">
        <f>2+2335</f>
        <v>2337</v>
      </c>
      <c r="E109" s="119">
        <f>636+1837359</f>
        <v>1837995</v>
      </c>
      <c r="F109" s="119">
        <v>82694</v>
      </c>
      <c r="G109" s="119"/>
      <c r="H109" s="119">
        <v>43</v>
      </c>
      <c r="I109" s="119">
        <v>7252</v>
      </c>
      <c r="J109" s="119"/>
      <c r="K109" s="119">
        <f>18+687</f>
        <v>705</v>
      </c>
      <c r="L109" s="119">
        <f>1170+110231</f>
        <v>111401</v>
      </c>
      <c r="M109" s="115">
        <v>52401</v>
      </c>
      <c r="N109" s="72"/>
    </row>
    <row r="110" spans="2:14" x14ac:dyDescent="0.2">
      <c r="B110" s="113"/>
      <c r="C110" s="116" t="s">
        <v>19</v>
      </c>
      <c r="D110" s="114">
        <v>4</v>
      </c>
      <c r="E110" s="114">
        <v>4414</v>
      </c>
      <c r="F110" s="114">
        <v>0</v>
      </c>
      <c r="G110" s="114"/>
      <c r="H110" s="114">
        <v>0</v>
      </c>
      <c r="I110" s="114">
        <v>0</v>
      </c>
      <c r="J110" s="114"/>
      <c r="K110" s="114">
        <v>0</v>
      </c>
      <c r="L110" s="114">
        <v>0</v>
      </c>
      <c r="M110" s="115">
        <v>0</v>
      </c>
      <c r="N110" s="72"/>
    </row>
    <row r="111" spans="2:14" x14ac:dyDescent="0.2">
      <c r="B111" s="113"/>
      <c r="C111" s="118"/>
      <c r="D111" s="121"/>
      <c r="E111" s="121"/>
      <c r="F111" s="119"/>
      <c r="G111" s="119"/>
      <c r="H111" s="119"/>
      <c r="I111" s="119"/>
      <c r="J111" s="119"/>
      <c r="K111" s="121"/>
      <c r="L111" s="121"/>
      <c r="M111" s="120"/>
      <c r="N111" s="72"/>
    </row>
    <row r="112" spans="2:14" x14ac:dyDescent="0.2">
      <c r="B112" s="122" t="s">
        <v>29</v>
      </c>
      <c r="C112" s="104" t="s">
        <v>15</v>
      </c>
      <c r="D112" s="105">
        <v>1</v>
      </c>
      <c r="E112" s="105">
        <v>96</v>
      </c>
      <c r="F112" s="105">
        <v>0</v>
      </c>
      <c r="G112" s="105"/>
      <c r="H112" s="105">
        <v>0</v>
      </c>
      <c r="I112" s="105">
        <v>0</v>
      </c>
      <c r="J112" s="105"/>
      <c r="K112" s="105">
        <v>0</v>
      </c>
      <c r="L112" s="105">
        <v>0</v>
      </c>
      <c r="M112" s="106">
        <v>0</v>
      </c>
      <c r="N112" s="72"/>
    </row>
    <row r="113" spans="2:14" x14ac:dyDescent="0.2">
      <c r="B113" s="122"/>
      <c r="C113" s="104"/>
      <c r="D113" s="105"/>
      <c r="E113" s="105"/>
      <c r="F113" s="105"/>
      <c r="G113" s="105"/>
      <c r="H113" s="105"/>
      <c r="I113" s="105"/>
      <c r="J113" s="105"/>
      <c r="K113" s="105"/>
      <c r="L113" s="105"/>
      <c r="M113" s="106"/>
      <c r="N113" s="72"/>
    </row>
    <row r="114" spans="2:14" x14ac:dyDescent="0.2">
      <c r="B114" s="103" t="s">
        <v>64</v>
      </c>
      <c r="C114" s="104" t="s">
        <v>19</v>
      </c>
      <c r="D114" s="105">
        <f>20+277</f>
        <v>297</v>
      </c>
      <c r="E114" s="105">
        <f>21843+335694</f>
        <v>357537</v>
      </c>
      <c r="F114" s="105">
        <v>0</v>
      </c>
      <c r="G114" s="105"/>
      <c r="H114" s="105">
        <f>7+6</f>
        <v>13</v>
      </c>
      <c r="I114" s="105">
        <f>784+241</f>
        <v>1025</v>
      </c>
      <c r="J114" s="105"/>
      <c r="K114" s="123">
        <f>1+1</f>
        <v>2</v>
      </c>
      <c r="L114" s="105">
        <f>230+251</f>
        <v>481</v>
      </c>
      <c r="M114" s="106">
        <v>0</v>
      </c>
      <c r="N114" s="72"/>
    </row>
    <row r="115" spans="2:14" x14ac:dyDescent="0.2">
      <c r="B115" s="113"/>
      <c r="C115" s="118"/>
      <c r="D115" s="105"/>
      <c r="E115" s="105"/>
      <c r="F115" s="105"/>
      <c r="G115" s="105"/>
      <c r="H115" s="105"/>
      <c r="I115" s="105"/>
      <c r="J115" s="105"/>
      <c r="K115" s="105"/>
      <c r="L115" s="105"/>
      <c r="M115" s="106"/>
      <c r="N115" s="72"/>
    </row>
    <row r="116" spans="2:14" x14ac:dyDescent="0.2">
      <c r="B116" s="103" t="s">
        <v>31</v>
      </c>
      <c r="C116" s="104" t="s">
        <v>22</v>
      </c>
      <c r="D116" s="105">
        <v>1221</v>
      </c>
      <c r="E116" s="105">
        <v>1765395</v>
      </c>
      <c r="F116" s="105">
        <v>78693</v>
      </c>
      <c r="G116" s="105"/>
      <c r="H116" s="105">
        <v>17</v>
      </c>
      <c r="I116" s="105">
        <v>23374</v>
      </c>
      <c r="J116" s="105"/>
      <c r="K116" s="105">
        <v>29</v>
      </c>
      <c r="L116" s="105">
        <f>1592+19170</f>
        <v>20762</v>
      </c>
      <c r="M116" s="106">
        <v>51728</v>
      </c>
      <c r="N116" s="72"/>
    </row>
    <row r="117" spans="2:14" x14ac:dyDescent="0.2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92"/>
      <c r="N117" s="72"/>
    </row>
    <row r="118" spans="2:14" x14ac:dyDescent="0.2">
      <c r="B118" s="103" t="s">
        <v>65</v>
      </c>
      <c r="C118" s="104" t="s">
        <v>19</v>
      </c>
      <c r="D118" s="105">
        <v>1</v>
      </c>
      <c r="E118" s="105">
        <v>81</v>
      </c>
      <c r="F118" s="105">
        <v>0</v>
      </c>
      <c r="G118" s="105"/>
      <c r="H118" s="105">
        <v>0</v>
      </c>
      <c r="I118" s="105">
        <v>0</v>
      </c>
      <c r="J118" s="105"/>
      <c r="K118" s="123">
        <v>0</v>
      </c>
      <c r="L118" s="105">
        <v>0</v>
      </c>
      <c r="M118" s="106">
        <v>0</v>
      </c>
      <c r="N118" s="72"/>
    </row>
    <row r="119" spans="2:14" x14ac:dyDescent="0.2">
      <c r="B119" s="113"/>
      <c r="C119" s="118"/>
      <c r="D119" s="114"/>
      <c r="E119" s="114"/>
      <c r="F119" s="114"/>
      <c r="G119" s="114"/>
      <c r="H119" s="114"/>
      <c r="I119" s="114"/>
      <c r="J119" s="114"/>
      <c r="K119" s="114"/>
      <c r="L119" s="114"/>
      <c r="M119" s="115"/>
      <c r="N119" s="72"/>
    </row>
    <row r="120" spans="2:14" x14ac:dyDescent="0.2">
      <c r="B120" s="103" t="s">
        <v>32</v>
      </c>
      <c r="C120" s="104" t="s">
        <v>24</v>
      </c>
      <c r="D120" s="105">
        <v>521</v>
      </c>
      <c r="E120" s="105">
        <v>258352</v>
      </c>
      <c r="F120" s="105">
        <v>0</v>
      </c>
      <c r="G120" s="105"/>
      <c r="H120" s="105">
        <v>0</v>
      </c>
      <c r="I120" s="105">
        <v>0</v>
      </c>
      <c r="J120" s="105"/>
      <c r="K120" s="105">
        <v>28</v>
      </c>
      <c r="L120" s="105">
        <v>3578</v>
      </c>
      <c r="M120" s="106">
        <v>893</v>
      </c>
      <c r="N120" s="72"/>
    </row>
    <row r="121" spans="2:14" x14ac:dyDescent="0.2">
      <c r="B121" s="113" t="s">
        <v>66</v>
      </c>
      <c r="C121" s="118"/>
      <c r="D121" s="114"/>
      <c r="E121" s="114"/>
      <c r="F121" s="114"/>
      <c r="G121" s="114"/>
      <c r="H121" s="114"/>
      <c r="I121" s="114"/>
      <c r="J121" s="114"/>
      <c r="K121" s="114"/>
      <c r="L121" s="114"/>
      <c r="M121" s="115"/>
      <c r="N121" s="72"/>
    </row>
    <row r="122" spans="2:14" x14ac:dyDescent="0.2">
      <c r="B122" s="103" t="s">
        <v>33</v>
      </c>
      <c r="C122" s="104" t="s">
        <v>30</v>
      </c>
      <c r="D122" s="105">
        <v>35</v>
      </c>
      <c r="E122" s="105">
        <v>43588</v>
      </c>
      <c r="F122" s="105">
        <v>0</v>
      </c>
      <c r="G122" s="105"/>
      <c r="H122" s="105">
        <v>0</v>
      </c>
      <c r="I122" s="105">
        <v>0</v>
      </c>
      <c r="J122" s="105"/>
      <c r="K122" s="105">
        <v>0</v>
      </c>
      <c r="L122" s="105">
        <v>0</v>
      </c>
      <c r="M122" s="106">
        <v>0</v>
      </c>
      <c r="N122" s="72"/>
    </row>
    <row r="123" spans="2:14" x14ac:dyDescent="0.2">
      <c r="B123" s="113"/>
      <c r="C123" s="118"/>
      <c r="D123" s="114"/>
      <c r="E123" s="114"/>
      <c r="F123" s="114"/>
      <c r="G123" s="114"/>
      <c r="H123" s="114"/>
      <c r="I123" s="114"/>
      <c r="J123" s="114"/>
      <c r="K123" s="114"/>
      <c r="L123" s="114"/>
      <c r="M123" s="115"/>
      <c r="N123" s="72"/>
    </row>
    <row r="124" spans="2:14" x14ac:dyDescent="0.2">
      <c r="B124" s="103" t="s">
        <v>67</v>
      </c>
      <c r="C124" s="110" t="s">
        <v>12</v>
      </c>
      <c r="D124" s="111">
        <f>SUM(D125:D126)</f>
        <v>975</v>
      </c>
      <c r="E124" s="111">
        <f>SUM(E125:E126)</f>
        <v>1110530</v>
      </c>
      <c r="F124" s="111">
        <f t="shared" ref="F124:M124" si="1">SUM(F125:F126)</f>
        <v>44411</v>
      </c>
      <c r="G124" s="111"/>
      <c r="H124" s="111">
        <f t="shared" si="1"/>
        <v>4</v>
      </c>
      <c r="I124" s="111">
        <f t="shared" si="1"/>
        <v>1243</v>
      </c>
      <c r="J124" s="111"/>
      <c r="K124" s="111">
        <f t="shared" si="1"/>
        <v>89</v>
      </c>
      <c r="L124" s="111">
        <f t="shared" si="1"/>
        <v>36505</v>
      </c>
      <c r="M124" s="112">
        <f t="shared" si="1"/>
        <v>23525</v>
      </c>
      <c r="N124" s="72"/>
    </row>
    <row r="125" spans="2:14" x14ac:dyDescent="0.2">
      <c r="B125" s="80"/>
      <c r="C125" s="104" t="s">
        <v>34</v>
      </c>
      <c r="D125" s="114">
        <v>1</v>
      </c>
      <c r="E125" s="114">
        <v>225</v>
      </c>
      <c r="F125" s="114">
        <v>0</v>
      </c>
      <c r="G125" s="114"/>
      <c r="H125" s="114">
        <v>0</v>
      </c>
      <c r="I125" s="114">
        <v>0</v>
      </c>
      <c r="J125" s="114"/>
      <c r="K125" s="119">
        <v>1</v>
      </c>
      <c r="L125" s="114">
        <v>661</v>
      </c>
      <c r="M125" s="115">
        <v>0</v>
      </c>
      <c r="N125" s="72"/>
    </row>
    <row r="126" spans="2:14" x14ac:dyDescent="0.2">
      <c r="B126" s="124"/>
      <c r="C126" s="104" t="s">
        <v>19</v>
      </c>
      <c r="D126" s="114">
        <f>693+281</f>
        <v>974</v>
      </c>
      <c r="E126" s="114">
        <f>876899+233406</f>
        <v>1110305</v>
      </c>
      <c r="F126" s="114">
        <v>44411</v>
      </c>
      <c r="G126" s="114"/>
      <c r="H126" s="114">
        <v>4</v>
      </c>
      <c r="I126" s="114">
        <v>1243</v>
      </c>
      <c r="J126" s="114"/>
      <c r="K126" s="119">
        <f>26+62</f>
        <v>88</v>
      </c>
      <c r="L126" s="114">
        <f>10590+25254</f>
        <v>35844</v>
      </c>
      <c r="M126" s="125">
        <f>3897+19628</f>
        <v>23525</v>
      </c>
      <c r="N126" s="72"/>
    </row>
    <row r="127" spans="2:14" x14ac:dyDescent="0.2">
      <c r="B127" s="76"/>
      <c r="C127" s="77"/>
      <c r="D127" s="126"/>
      <c r="E127" s="126"/>
      <c r="F127" s="126"/>
      <c r="G127" s="126"/>
      <c r="H127" s="126"/>
      <c r="I127" s="126"/>
      <c r="J127" s="126"/>
      <c r="K127" s="126"/>
      <c r="L127" s="126"/>
      <c r="M127" s="127"/>
      <c r="N127" s="79"/>
    </row>
    <row r="128" spans="2:14" x14ac:dyDescent="0.2">
      <c r="B128" s="103" t="s">
        <v>35</v>
      </c>
      <c r="C128" s="72"/>
      <c r="D128" s="128">
        <f>D124+D114+D120+D118+D122+D116+D112+D97+D90+D85+D101+D83</f>
        <v>16831</v>
      </c>
      <c r="E128" s="128">
        <f>E124+E114+E120+E118+E122+E116+E112+E97+E90+E85+E101+E83</f>
        <v>13216166</v>
      </c>
      <c r="F128" s="128">
        <f t="shared" ref="F128:M128" si="2">F124+F114+F120+F118+F122+F116+F112+F97+F90+F85+F101+F83</f>
        <v>456620</v>
      </c>
      <c r="G128" s="128"/>
      <c r="H128" s="128">
        <f t="shared" si="2"/>
        <v>262</v>
      </c>
      <c r="I128" s="128">
        <f>I124+I114+I120+I118+I122+I116+I112+I97+I90+I85+I101+I83</f>
        <v>68967</v>
      </c>
      <c r="J128" s="128"/>
      <c r="K128" s="128">
        <f t="shared" si="2"/>
        <v>2741</v>
      </c>
      <c r="L128" s="128">
        <f t="shared" si="2"/>
        <v>445011</v>
      </c>
      <c r="M128" s="129">
        <f t="shared" si="2"/>
        <v>277999</v>
      </c>
      <c r="N128" s="85"/>
    </row>
    <row r="129" spans="2:16" x14ac:dyDescent="0.2">
      <c r="B129" s="130" t="s">
        <v>36</v>
      </c>
      <c r="C129" s="72"/>
      <c r="D129" s="128"/>
      <c r="E129" s="128">
        <f>E128*P129</f>
        <v>222306749.37612003</v>
      </c>
      <c r="F129" s="128">
        <f>F128*P129</f>
        <v>7680722.8284000009</v>
      </c>
      <c r="G129" s="128"/>
      <c r="H129" s="128"/>
      <c r="I129" s="128">
        <f>I128*P129</f>
        <v>1160081.49294</v>
      </c>
      <c r="J129" s="128"/>
      <c r="K129" s="128"/>
      <c r="L129" s="128">
        <f>L128*P129</f>
        <v>7485449.9290200006</v>
      </c>
      <c r="M129" s="129">
        <f>M128*P129</f>
        <v>4676171.1391799999</v>
      </c>
      <c r="N129" s="85"/>
      <c r="O129" s="1" t="s">
        <v>37</v>
      </c>
      <c r="P129" s="1">
        <v>16.820820000000001</v>
      </c>
    </row>
    <row r="130" spans="2:16" x14ac:dyDescent="0.2">
      <c r="B130" s="100"/>
      <c r="C130" s="10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2"/>
      <c r="N130" s="79"/>
    </row>
    <row r="131" spans="2:16" x14ac:dyDescent="0.2">
      <c r="C131" s="133"/>
      <c r="D131" s="133"/>
      <c r="E131" s="134"/>
      <c r="F131" s="134"/>
      <c r="G131" s="134"/>
      <c r="H131" s="133"/>
      <c r="I131" s="133"/>
      <c r="J131" s="133"/>
      <c r="K131" s="133"/>
      <c r="L131" s="133"/>
      <c r="M131" s="133"/>
      <c r="N131" s="133"/>
    </row>
    <row r="132" spans="2:16" x14ac:dyDescent="0.2">
      <c r="B132" s="134"/>
      <c r="C132" s="133"/>
      <c r="D132" s="133"/>
      <c r="E132" s="134"/>
      <c r="F132" s="134"/>
      <c r="G132" s="134"/>
      <c r="H132" s="133"/>
      <c r="I132" s="133"/>
      <c r="J132" s="133"/>
      <c r="K132" s="133"/>
      <c r="L132" s="133"/>
      <c r="M132" s="133"/>
      <c r="N132" s="133"/>
    </row>
    <row r="133" spans="2:16" x14ac:dyDescent="0.2">
      <c r="B133" s="134"/>
      <c r="C133" s="133"/>
      <c r="D133" s="133"/>
      <c r="E133" s="134"/>
      <c r="F133" s="134"/>
      <c r="G133" s="134"/>
      <c r="H133" s="133"/>
      <c r="I133" s="133"/>
      <c r="J133" s="133"/>
      <c r="K133" s="133"/>
      <c r="L133" s="133"/>
      <c r="M133" s="133"/>
      <c r="N133" s="133"/>
    </row>
    <row r="134" spans="2:16" x14ac:dyDescent="0.2">
      <c r="B134" s="134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</row>
    <row r="135" spans="2:16" x14ac:dyDescent="0.2">
      <c r="B135" s="134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</row>
    <row r="136" spans="2:16" x14ac:dyDescent="0.2">
      <c r="B136" s="134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</row>
    <row r="137" spans="2:16" x14ac:dyDescent="0.2">
      <c r="B137" s="134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</row>
    <row r="138" spans="2:16" x14ac:dyDescent="0.2">
      <c r="B138" s="134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</row>
    <row r="139" spans="2:16" x14ac:dyDescent="0.2">
      <c r="B139" s="134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</row>
    <row r="140" spans="2:16" x14ac:dyDescent="0.2">
      <c r="B140" s="134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</row>
    <row r="141" spans="2:16" x14ac:dyDescent="0.2">
      <c r="B141" s="134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</row>
    <row r="142" spans="2:16" x14ac:dyDescent="0.2"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</row>
    <row r="143" spans="2:16" x14ac:dyDescent="0.2"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</row>
    <row r="144" spans="2:16" x14ac:dyDescent="0.2"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</row>
    <row r="145" spans="2:14" x14ac:dyDescent="0.2"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</row>
    <row r="146" spans="2:14" x14ac:dyDescent="0.2"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</row>
    <row r="147" spans="2:14" x14ac:dyDescent="0.2"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</row>
    <row r="148" spans="2:14" x14ac:dyDescent="0.2"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</row>
    <row r="149" spans="2:14" x14ac:dyDescent="0.2"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x14ac:dyDescent="0.2"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x14ac:dyDescent="0.2"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2" spans="2:14" x14ac:dyDescent="0.2"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/>
  </sheetViews>
  <sheetFormatPr baseColWidth="10" defaultColWidth="9.140625" defaultRowHeight="15" x14ac:dyDescent="0.25"/>
  <cols>
    <col min="1" max="1" width="14.140625" customWidth="1"/>
    <col min="2" max="2" width="15" customWidth="1"/>
    <col min="4" max="4" width="9.5703125" bestFit="1" customWidth="1"/>
    <col min="6" max="6" width="19.7109375" bestFit="1" customWidth="1"/>
    <col min="7" max="7" width="10.140625" bestFit="1" customWidth="1"/>
    <col min="9" max="9" width="15.28515625" bestFit="1" customWidth="1"/>
    <col min="10" max="10" width="10.140625" bestFit="1" customWidth="1"/>
    <col min="14" max="14" width="15.28515625" bestFit="1" customWidth="1"/>
    <col min="15" max="15" width="10.140625" bestFit="1" customWidth="1"/>
  </cols>
  <sheetData>
    <row r="1" spans="1:11" x14ac:dyDescent="0.25">
      <c r="A1" s="4" t="s">
        <v>1</v>
      </c>
      <c r="B1" s="1"/>
      <c r="C1" s="1"/>
      <c r="D1" s="1"/>
      <c r="E1" s="1"/>
      <c r="F1" s="1"/>
      <c r="G1" s="1"/>
      <c r="H1" s="5"/>
      <c r="I1" s="1"/>
      <c r="J1" s="1"/>
      <c r="K1" s="1"/>
    </row>
    <row r="2" spans="1:11" x14ac:dyDescent="0.25">
      <c r="A2" s="6" t="s">
        <v>68</v>
      </c>
      <c r="B2" s="1"/>
      <c r="C2" s="1"/>
      <c r="D2" s="1"/>
      <c r="E2" s="1"/>
      <c r="F2" s="1"/>
      <c r="G2" s="1"/>
      <c r="H2" s="5"/>
      <c r="I2" s="1"/>
      <c r="J2" s="1"/>
      <c r="K2" s="7"/>
    </row>
    <row r="3" spans="1:11" x14ac:dyDescent="0.25">
      <c r="A3" s="9"/>
      <c r="B3" s="10"/>
      <c r="C3" s="10"/>
      <c r="D3" s="10"/>
      <c r="E3" s="10"/>
      <c r="F3" s="10"/>
      <c r="G3" s="11"/>
      <c r="H3" s="1"/>
      <c r="I3" s="1"/>
      <c r="J3" s="1"/>
      <c r="K3" s="7"/>
    </row>
    <row r="4" spans="1:11" x14ac:dyDescent="0.25">
      <c r="A4" s="12" t="s">
        <v>3</v>
      </c>
      <c r="B4" s="13" t="s">
        <v>4</v>
      </c>
      <c r="C4" s="14"/>
      <c r="D4" s="15" t="s">
        <v>5</v>
      </c>
      <c r="E4" s="16"/>
      <c r="F4" s="17" t="s">
        <v>6</v>
      </c>
      <c r="G4" s="18"/>
      <c r="H4" s="19"/>
      <c r="I4" s="1"/>
      <c r="J4" s="1"/>
      <c r="K4" s="7"/>
    </row>
    <row r="5" spans="1:11" x14ac:dyDescent="0.25">
      <c r="A5" s="20"/>
      <c r="B5" s="1"/>
      <c r="C5" s="21" t="s">
        <v>7</v>
      </c>
      <c r="D5" s="22" t="s">
        <v>8</v>
      </c>
      <c r="E5" s="22"/>
      <c r="F5" s="21" t="s">
        <v>7</v>
      </c>
      <c r="G5" s="23" t="s">
        <v>8</v>
      </c>
      <c r="H5" s="19"/>
      <c r="I5" s="1"/>
      <c r="J5" s="1"/>
      <c r="K5" s="7"/>
    </row>
    <row r="6" spans="1:11" x14ac:dyDescent="0.25">
      <c r="A6" s="24"/>
      <c r="B6" s="25"/>
      <c r="C6" s="25"/>
      <c r="D6" s="25"/>
      <c r="E6" s="25"/>
      <c r="F6" s="25"/>
      <c r="G6" s="26"/>
      <c r="H6" s="27"/>
      <c r="I6" s="1"/>
      <c r="J6" s="1"/>
      <c r="K6" s="7"/>
    </row>
    <row r="7" spans="1:11" x14ac:dyDescent="0.25">
      <c r="A7" s="28" t="s">
        <v>9</v>
      </c>
      <c r="B7" s="29" t="s">
        <v>10</v>
      </c>
      <c r="C7" s="30">
        <v>159</v>
      </c>
      <c r="D7" s="30">
        <v>146178</v>
      </c>
      <c r="E7" s="1"/>
      <c r="F7" s="30">
        <v>133</v>
      </c>
      <c r="G7" s="31">
        <v>67468</v>
      </c>
      <c r="H7" s="19"/>
      <c r="I7" s="32"/>
      <c r="J7" s="32"/>
      <c r="K7" s="7"/>
    </row>
    <row r="8" spans="1:11" x14ac:dyDescent="0.25">
      <c r="A8" s="33"/>
      <c r="B8" s="34"/>
      <c r="C8" s="35"/>
      <c r="D8" s="35"/>
      <c r="E8" s="35"/>
      <c r="F8" s="35"/>
      <c r="G8" s="36"/>
      <c r="H8" s="19"/>
      <c r="I8" s="32"/>
      <c r="J8" s="32"/>
      <c r="K8" s="7"/>
    </row>
    <row r="9" spans="1:11" x14ac:dyDescent="0.25">
      <c r="A9" s="28" t="s">
        <v>11</v>
      </c>
      <c r="B9" s="37" t="s">
        <v>12</v>
      </c>
      <c r="C9" s="38">
        <f>SUM(C10:C12)</f>
        <v>3653</v>
      </c>
      <c r="D9" s="38">
        <f>SUM(D10:D12)</f>
        <v>4167766</v>
      </c>
      <c r="E9" s="38"/>
      <c r="F9" s="38">
        <f>SUM(F10:F12)</f>
        <v>2809</v>
      </c>
      <c r="G9" s="39">
        <f>SUM(G10:G12)</f>
        <v>1804687</v>
      </c>
      <c r="H9" s="19"/>
      <c r="I9" s="32"/>
      <c r="J9" s="32"/>
      <c r="K9" s="7"/>
    </row>
    <row r="10" spans="1:11" x14ac:dyDescent="0.25">
      <c r="A10" s="28"/>
      <c r="B10" s="29" t="s">
        <v>13</v>
      </c>
      <c r="C10" s="35">
        <v>362</v>
      </c>
      <c r="D10" s="35">
        <v>354863</v>
      </c>
      <c r="E10" s="35"/>
      <c r="F10" s="35">
        <v>334</v>
      </c>
      <c r="G10" s="36">
        <v>178190</v>
      </c>
      <c r="H10" s="19"/>
      <c r="I10" s="32"/>
      <c r="J10" s="32"/>
      <c r="K10" s="7"/>
    </row>
    <row r="11" spans="1:11" x14ac:dyDescent="0.25">
      <c r="A11" s="33"/>
      <c r="B11" s="29" t="s">
        <v>14</v>
      </c>
      <c r="C11" s="30">
        <v>3150</v>
      </c>
      <c r="D11" s="30">
        <v>3596301</v>
      </c>
      <c r="E11" s="30"/>
      <c r="F11" s="30">
        <v>2366</v>
      </c>
      <c r="G11" s="31">
        <v>1522393</v>
      </c>
      <c r="H11" s="19"/>
      <c r="I11" s="32"/>
      <c r="J11" s="32"/>
      <c r="K11" s="8"/>
    </row>
    <row r="12" spans="1:11" x14ac:dyDescent="0.25">
      <c r="A12" s="33"/>
      <c r="B12" s="29" t="s">
        <v>15</v>
      </c>
      <c r="C12" s="35">
        <v>141</v>
      </c>
      <c r="D12" s="35">
        <v>216602</v>
      </c>
      <c r="E12" s="35"/>
      <c r="F12" s="35">
        <v>109</v>
      </c>
      <c r="G12" s="36">
        <v>104104</v>
      </c>
      <c r="H12" s="19"/>
      <c r="I12" s="32"/>
      <c r="J12" s="32"/>
      <c r="K12" s="1"/>
    </row>
    <row r="13" spans="1:11" x14ac:dyDescent="0.25">
      <c r="A13" s="33"/>
      <c r="B13" s="34"/>
      <c r="C13" s="30"/>
      <c r="D13" s="30"/>
      <c r="E13" s="30"/>
      <c r="F13" s="30"/>
      <c r="G13" s="31"/>
      <c r="H13" s="19"/>
      <c r="I13" s="32"/>
      <c r="J13" s="32"/>
      <c r="K13" s="8"/>
    </row>
    <row r="14" spans="1:11" x14ac:dyDescent="0.25">
      <c r="A14" s="28" t="s">
        <v>16</v>
      </c>
      <c r="B14" s="29" t="s">
        <v>17</v>
      </c>
      <c r="C14" s="40">
        <v>632</v>
      </c>
      <c r="D14" s="40">
        <v>801972</v>
      </c>
      <c r="E14" s="40"/>
      <c r="F14" s="40">
        <v>326</v>
      </c>
      <c r="G14" s="41">
        <v>233115</v>
      </c>
      <c r="H14" s="19"/>
      <c r="I14" s="32"/>
      <c r="J14" s="32"/>
      <c r="K14" s="8"/>
    </row>
    <row r="15" spans="1:11" x14ac:dyDescent="0.25">
      <c r="A15" s="28"/>
      <c r="B15" s="29"/>
      <c r="C15" s="40"/>
      <c r="D15" s="40"/>
      <c r="E15" s="40"/>
      <c r="F15" s="40"/>
      <c r="G15" s="41"/>
      <c r="H15" s="19"/>
      <c r="I15" s="32"/>
      <c r="J15" s="32"/>
      <c r="K15" s="8"/>
    </row>
    <row r="16" spans="1:11" x14ac:dyDescent="0.25">
      <c r="A16" s="42" t="s">
        <v>18</v>
      </c>
      <c r="B16" s="29" t="s">
        <v>19</v>
      </c>
      <c r="C16" s="40">
        <v>554</v>
      </c>
      <c r="D16" s="40">
        <v>914984</v>
      </c>
      <c r="E16" s="40"/>
      <c r="F16" s="40">
        <v>606</v>
      </c>
      <c r="G16" s="41">
        <v>383438</v>
      </c>
      <c r="H16" s="19"/>
      <c r="I16" s="32"/>
      <c r="J16" s="32"/>
      <c r="K16" s="8"/>
    </row>
    <row r="17" spans="1:11" x14ac:dyDescent="0.25">
      <c r="A17" s="28"/>
      <c r="B17" s="29"/>
      <c r="C17" s="30"/>
      <c r="D17" s="30"/>
      <c r="E17" s="30"/>
      <c r="F17" s="30"/>
      <c r="G17" s="31"/>
      <c r="H17" s="19"/>
      <c r="I17" s="32"/>
      <c r="J17" s="32"/>
      <c r="K17" s="8"/>
    </row>
    <row r="18" spans="1:11" x14ac:dyDescent="0.25">
      <c r="A18" s="28" t="s">
        <v>20</v>
      </c>
      <c r="B18" s="37" t="s">
        <v>12</v>
      </c>
      <c r="C18" s="38">
        <f>SUM(C19:C24)</f>
        <v>658</v>
      </c>
      <c r="D18" s="38">
        <f>SUM(D19:D24)</f>
        <v>804000</v>
      </c>
      <c r="E18" s="38"/>
      <c r="F18" s="38">
        <f>SUM(F19:F24)</f>
        <v>475</v>
      </c>
      <c r="G18" s="39">
        <f>SUM(G19:G24)</f>
        <v>373004</v>
      </c>
      <c r="H18" s="19"/>
      <c r="I18" s="32"/>
      <c r="J18" s="32"/>
      <c r="K18" s="1"/>
    </row>
    <row r="19" spans="1:11" x14ac:dyDescent="0.25">
      <c r="A19" s="33"/>
      <c r="B19" s="29" t="s">
        <v>21</v>
      </c>
      <c r="C19" s="30">
        <v>69</v>
      </c>
      <c r="D19" s="30">
        <v>47029</v>
      </c>
      <c r="E19" s="30"/>
      <c r="F19" s="30">
        <v>49</v>
      </c>
      <c r="G19" s="31">
        <v>21876</v>
      </c>
      <c r="H19" s="19"/>
      <c r="I19" s="32"/>
      <c r="J19" s="32"/>
      <c r="K19" s="1"/>
    </row>
    <row r="20" spans="1:11" x14ac:dyDescent="0.25">
      <c r="A20" s="33"/>
      <c r="B20" s="29" t="s">
        <v>22</v>
      </c>
      <c r="C20" s="30">
        <v>117</v>
      </c>
      <c r="D20" s="30">
        <v>272472</v>
      </c>
      <c r="E20" s="30"/>
      <c r="F20" s="30">
        <v>73</v>
      </c>
      <c r="G20" s="31">
        <v>132313</v>
      </c>
      <c r="H20" s="19"/>
      <c r="I20" s="32"/>
      <c r="J20" s="32"/>
      <c r="K20" s="1"/>
    </row>
    <row r="21" spans="1:11" x14ac:dyDescent="0.25">
      <c r="A21" s="33"/>
      <c r="B21" s="29" t="s">
        <v>23</v>
      </c>
      <c r="C21" s="30">
        <v>220</v>
      </c>
      <c r="D21" s="30">
        <v>187639</v>
      </c>
      <c r="E21" s="30"/>
      <c r="F21" s="30">
        <v>142</v>
      </c>
      <c r="G21" s="31">
        <v>69837</v>
      </c>
      <c r="H21" s="19"/>
      <c r="I21" s="32"/>
      <c r="J21" s="32"/>
      <c r="K21" s="1"/>
    </row>
    <row r="22" spans="1:11" x14ac:dyDescent="0.25">
      <c r="A22" s="33"/>
      <c r="B22" s="29" t="s">
        <v>24</v>
      </c>
      <c r="C22" s="30">
        <v>16</v>
      </c>
      <c r="D22" s="30">
        <v>21294</v>
      </c>
      <c r="E22" s="30"/>
      <c r="F22" s="30">
        <v>31</v>
      </c>
      <c r="G22" s="31">
        <v>17627</v>
      </c>
      <c r="H22" s="19"/>
      <c r="I22" s="32"/>
      <c r="J22" s="32"/>
      <c r="K22" s="1"/>
    </row>
    <row r="23" spans="1:11" x14ac:dyDescent="0.25">
      <c r="A23" s="33"/>
      <c r="B23" s="29" t="s">
        <v>25</v>
      </c>
      <c r="C23" s="30">
        <v>183</v>
      </c>
      <c r="D23" s="30">
        <v>187223</v>
      </c>
      <c r="E23" s="30"/>
      <c r="F23" s="30">
        <v>139</v>
      </c>
      <c r="G23" s="31">
        <v>84184</v>
      </c>
      <c r="H23" s="19"/>
      <c r="I23" s="32"/>
      <c r="J23" s="32"/>
      <c r="K23" s="1"/>
    </row>
    <row r="24" spans="1:11" x14ac:dyDescent="0.25">
      <c r="A24" s="33"/>
      <c r="B24" s="29" t="s">
        <v>26</v>
      </c>
      <c r="C24" s="30">
        <v>53</v>
      </c>
      <c r="D24" s="30">
        <v>88343</v>
      </c>
      <c r="E24" s="30"/>
      <c r="F24" s="30">
        <v>41</v>
      </c>
      <c r="G24" s="31">
        <v>47167</v>
      </c>
      <c r="H24" s="19"/>
      <c r="I24" s="32"/>
      <c r="J24" s="32"/>
      <c r="K24" s="1"/>
    </row>
    <row r="25" spans="1:11" x14ac:dyDescent="0.25">
      <c r="A25" s="33"/>
      <c r="B25" s="34"/>
      <c r="C25" s="35"/>
      <c r="D25" s="35"/>
      <c r="E25" s="35"/>
      <c r="F25" s="35"/>
      <c r="G25" s="36"/>
      <c r="H25" s="19"/>
      <c r="I25" s="32"/>
      <c r="J25" s="32"/>
      <c r="K25" s="1"/>
    </row>
    <row r="26" spans="1:11" x14ac:dyDescent="0.25">
      <c r="A26" s="42" t="s">
        <v>27</v>
      </c>
      <c r="B26" s="37" t="s">
        <v>12</v>
      </c>
      <c r="C26" s="43">
        <f>SUM(C27:C28)</f>
        <v>2752</v>
      </c>
      <c r="D26" s="38">
        <f>SUM(D27:D28)</f>
        <v>3351295</v>
      </c>
      <c r="E26" s="38"/>
      <c r="F26" s="38">
        <f>SUM(F27:F28)</f>
        <v>1895</v>
      </c>
      <c r="G26" s="39">
        <f>SUM(G27:G28)</f>
        <v>1220642</v>
      </c>
      <c r="H26" s="19"/>
      <c r="I26" s="32"/>
      <c r="J26" s="32"/>
      <c r="K26" s="1"/>
    </row>
    <row r="27" spans="1:11" x14ac:dyDescent="0.25">
      <c r="A27" s="33"/>
      <c r="B27" s="29" t="s">
        <v>28</v>
      </c>
      <c r="C27" s="30">
        <v>2099</v>
      </c>
      <c r="D27" s="30">
        <v>2674530</v>
      </c>
      <c r="E27" s="30"/>
      <c r="F27" s="44">
        <v>1516</v>
      </c>
      <c r="G27" s="31">
        <v>1060681</v>
      </c>
      <c r="H27" s="19"/>
      <c r="I27" s="32"/>
      <c r="J27" s="32"/>
      <c r="K27" s="1"/>
    </row>
    <row r="28" spans="1:11" x14ac:dyDescent="0.25">
      <c r="A28" s="33"/>
      <c r="B28" s="29" t="s">
        <v>15</v>
      </c>
      <c r="C28" s="30">
        <v>653</v>
      </c>
      <c r="D28" s="30">
        <v>676765</v>
      </c>
      <c r="E28" s="30"/>
      <c r="F28" s="44">
        <v>379</v>
      </c>
      <c r="G28" s="31">
        <v>159961</v>
      </c>
      <c r="H28" s="19"/>
      <c r="I28" s="32"/>
      <c r="J28" s="32"/>
      <c r="K28" s="1"/>
    </row>
    <row r="29" spans="1:11" x14ac:dyDescent="0.25">
      <c r="A29" s="33"/>
      <c r="B29" s="34"/>
      <c r="C29" s="30"/>
      <c r="D29" s="30"/>
      <c r="E29" s="30"/>
      <c r="F29" s="30"/>
      <c r="G29" s="31"/>
      <c r="H29" s="19"/>
      <c r="I29" s="32"/>
      <c r="J29" s="32"/>
      <c r="K29" s="1"/>
    </row>
    <row r="30" spans="1:11" x14ac:dyDescent="0.25">
      <c r="A30" s="28" t="s">
        <v>29</v>
      </c>
      <c r="B30" s="37" t="s">
        <v>12</v>
      </c>
      <c r="C30" s="38">
        <f>SUM(C31:C32)</f>
        <v>454</v>
      </c>
      <c r="D30" s="38">
        <f>SUM(D31:D32)</f>
        <v>578934</v>
      </c>
      <c r="E30" s="38"/>
      <c r="F30" s="38">
        <f>SUM(F31:F32)</f>
        <v>321</v>
      </c>
      <c r="G30" s="39">
        <f>SUM(G31:G32)</f>
        <v>244288</v>
      </c>
      <c r="H30" s="19"/>
      <c r="I30" s="32"/>
      <c r="J30" s="32"/>
      <c r="K30" s="1"/>
    </row>
    <row r="31" spans="1:11" x14ac:dyDescent="0.25">
      <c r="A31" s="33"/>
      <c r="B31" s="45" t="s">
        <v>17</v>
      </c>
      <c r="C31" s="30">
        <v>357</v>
      </c>
      <c r="D31" s="30">
        <v>479707</v>
      </c>
      <c r="E31" s="30"/>
      <c r="F31" s="30">
        <v>284</v>
      </c>
      <c r="G31" s="31">
        <v>226823</v>
      </c>
      <c r="H31" s="19"/>
      <c r="I31" s="32"/>
      <c r="J31" s="32"/>
      <c r="K31" s="1"/>
    </row>
    <row r="32" spans="1:11" x14ac:dyDescent="0.25">
      <c r="A32" s="33"/>
      <c r="B32" s="29" t="s">
        <v>30</v>
      </c>
      <c r="C32" s="30">
        <v>97</v>
      </c>
      <c r="D32" s="30">
        <v>99227</v>
      </c>
      <c r="E32" s="30"/>
      <c r="F32" s="30">
        <v>37</v>
      </c>
      <c r="G32" s="31">
        <v>17465</v>
      </c>
      <c r="H32" s="19"/>
      <c r="I32" s="32"/>
      <c r="J32" s="32"/>
      <c r="K32" s="1"/>
    </row>
    <row r="33" spans="1:11" x14ac:dyDescent="0.25">
      <c r="A33" s="33"/>
      <c r="B33" s="34"/>
      <c r="C33" s="35"/>
      <c r="D33" s="35"/>
      <c r="E33" s="35"/>
      <c r="F33" s="35"/>
      <c r="G33" s="36"/>
      <c r="H33" s="19"/>
      <c r="I33" s="32"/>
      <c r="J33" s="32"/>
      <c r="K33" s="1"/>
    </row>
    <row r="34" spans="1:11" x14ac:dyDescent="0.25">
      <c r="A34" s="28" t="s">
        <v>31</v>
      </c>
      <c r="B34" s="37" t="s">
        <v>12</v>
      </c>
      <c r="C34" s="38">
        <f>SUM(C35:C36)</f>
        <v>287</v>
      </c>
      <c r="D34" s="38">
        <f>SUM(D35:D36)</f>
        <v>421352</v>
      </c>
      <c r="E34" s="38"/>
      <c r="F34" s="38">
        <f>SUM(F35:F36)</f>
        <v>228</v>
      </c>
      <c r="G34" s="39">
        <f>SUM(G35:G36)</f>
        <v>209244</v>
      </c>
      <c r="H34" s="19"/>
      <c r="I34" s="32"/>
      <c r="J34" s="32"/>
      <c r="K34" s="1"/>
    </row>
    <row r="35" spans="1:11" x14ac:dyDescent="0.25">
      <c r="A35" s="33"/>
      <c r="B35" s="29" t="s">
        <v>17</v>
      </c>
      <c r="C35" s="30">
        <v>152</v>
      </c>
      <c r="D35" s="30">
        <v>281849</v>
      </c>
      <c r="E35" s="30"/>
      <c r="F35" s="30">
        <v>120</v>
      </c>
      <c r="G35" s="31">
        <v>130767</v>
      </c>
      <c r="H35" s="19"/>
      <c r="I35" s="32"/>
      <c r="J35" s="32"/>
      <c r="K35" s="1"/>
    </row>
    <row r="36" spans="1:11" x14ac:dyDescent="0.25">
      <c r="A36" s="33"/>
      <c r="B36" s="29" t="s">
        <v>25</v>
      </c>
      <c r="C36" s="30">
        <v>135</v>
      </c>
      <c r="D36" s="30">
        <v>139503</v>
      </c>
      <c r="E36" s="30"/>
      <c r="F36" s="30">
        <v>108</v>
      </c>
      <c r="G36" s="31">
        <v>78477</v>
      </c>
      <c r="H36" s="19"/>
      <c r="I36" s="32"/>
      <c r="J36" s="32"/>
      <c r="K36" s="1"/>
    </row>
    <row r="37" spans="1:11" x14ac:dyDescent="0.25">
      <c r="A37" s="33"/>
      <c r="B37" s="34"/>
      <c r="C37" s="30"/>
      <c r="D37" s="30"/>
      <c r="E37" s="30"/>
      <c r="F37" s="30"/>
      <c r="G37" s="31"/>
      <c r="H37" s="19"/>
      <c r="I37" s="32"/>
      <c r="J37" s="32"/>
      <c r="K37" s="1"/>
    </row>
    <row r="38" spans="1:11" x14ac:dyDescent="0.25">
      <c r="A38" s="28" t="s">
        <v>32</v>
      </c>
      <c r="B38" s="37" t="s">
        <v>12</v>
      </c>
      <c r="C38" s="38">
        <f>SUM(C39:C40)</f>
        <v>687</v>
      </c>
      <c r="D38" s="38">
        <f>SUM(D39:D40)</f>
        <v>540595</v>
      </c>
      <c r="E38" s="1"/>
      <c r="F38" s="38">
        <f>SUM(F39:F40)</f>
        <v>609</v>
      </c>
      <c r="G38" s="39">
        <f>SUM(G39:G40)</f>
        <v>289809</v>
      </c>
      <c r="H38" s="19"/>
      <c r="I38" s="32"/>
      <c r="J38" s="32"/>
      <c r="K38" s="1"/>
    </row>
    <row r="39" spans="1:11" x14ac:dyDescent="0.25">
      <c r="A39" s="33"/>
      <c r="B39" s="29" t="s">
        <v>23</v>
      </c>
      <c r="C39" s="30">
        <v>425</v>
      </c>
      <c r="D39" s="30">
        <v>334673</v>
      </c>
      <c r="E39" s="30"/>
      <c r="F39" s="30">
        <v>395</v>
      </c>
      <c r="G39" s="31">
        <v>184074</v>
      </c>
      <c r="H39" s="19"/>
      <c r="I39" s="32"/>
      <c r="J39" s="32"/>
      <c r="K39" s="1"/>
    </row>
    <row r="40" spans="1:11" x14ac:dyDescent="0.25">
      <c r="A40" s="33"/>
      <c r="B40" s="29" t="s">
        <v>24</v>
      </c>
      <c r="C40" s="30">
        <v>262</v>
      </c>
      <c r="D40" s="30">
        <v>205922</v>
      </c>
      <c r="E40" s="30"/>
      <c r="F40" s="30">
        <v>214</v>
      </c>
      <c r="G40" s="31">
        <v>105735</v>
      </c>
      <c r="H40" s="19"/>
      <c r="I40" s="32"/>
      <c r="J40" s="32"/>
      <c r="K40" s="1"/>
    </row>
    <row r="41" spans="1:11" x14ac:dyDescent="0.25">
      <c r="A41" s="33"/>
      <c r="B41" s="29"/>
      <c r="C41" s="30"/>
      <c r="D41" s="30"/>
      <c r="E41" s="30"/>
      <c r="F41" s="30"/>
      <c r="G41" s="31"/>
      <c r="H41" s="19"/>
      <c r="I41" s="32"/>
      <c r="J41" s="32"/>
      <c r="K41" s="1"/>
    </row>
    <row r="42" spans="1:11" x14ac:dyDescent="0.25">
      <c r="A42" s="28" t="s">
        <v>33</v>
      </c>
      <c r="B42" s="29" t="s">
        <v>34</v>
      </c>
      <c r="C42" s="40">
        <v>12</v>
      </c>
      <c r="D42" s="40">
        <v>28097</v>
      </c>
      <c r="E42" s="40"/>
      <c r="F42" s="40">
        <v>12</v>
      </c>
      <c r="G42" s="41">
        <v>21464</v>
      </c>
      <c r="H42" s="19"/>
      <c r="I42" s="32"/>
      <c r="J42" s="32"/>
      <c r="K42" s="1"/>
    </row>
    <row r="43" spans="1:11" x14ac:dyDescent="0.25">
      <c r="A43" s="9"/>
      <c r="B43" s="10"/>
      <c r="C43" s="46"/>
      <c r="D43" s="46"/>
      <c r="E43" s="46"/>
      <c r="F43" s="46"/>
      <c r="G43" s="47"/>
      <c r="H43" s="27"/>
      <c r="I43" s="1"/>
      <c r="J43" s="48"/>
      <c r="K43" s="1"/>
    </row>
    <row r="44" spans="1:11" x14ac:dyDescent="0.25">
      <c r="A44" s="28" t="s">
        <v>35</v>
      </c>
      <c r="B44" s="1"/>
      <c r="C44" s="38">
        <f>C38+C42+C34+C30+C18+C16+C14+C9+C7+C26</f>
        <v>9848</v>
      </c>
      <c r="D44" s="38">
        <f>D38+D42+D34+D30+D18+D16+D14+D9+D7+D26</f>
        <v>11755173</v>
      </c>
      <c r="E44" s="38"/>
      <c r="F44" s="38">
        <f>F38+F42+F34+F30+F18+F16+F14+F9+F7+F26</f>
        <v>7414</v>
      </c>
      <c r="G44" s="39">
        <f>G38+G42+G34+G30+G18+G16+G14+G9+G7+G26</f>
        <v>4847159</v>
      </c>
      <c r="H44" s="19"/>
      <c r="I44" s="1"/>
      <c r="J44" s="1"/>
      <c r="K44" s="1"/>
    </row>
    <row r="45" spans="1:11" x14ac:dyDescent="0.25">
      <c r="A45" s="49" t="s">
        <v>36</v>
      </c>
      <c r="B45" s="1"/>
      <c r="C45" s="38"/>
      <c r="D45" s="38">
        <f>D44*J45</f>
        <v>200013680.83634999</v>
      </c>
      <c r="E45" s="38"/>
      <c r="F45" s="38"/>
      <c r="G45" s="39">
        <f>G44*J45</f>
        <v>82474168.027049989</v>
      </c>
      <c r="H45" s="19"/>
      <c r="I45" s="50" t="s">
        <v>69</v>
      </c>
      <c r="J45" s="51">
        <v>17.014949999999999</v>
      </c>
      <c r="K45" s="1"/>
    </row>
    <row r="46" spans="1:11" x14ac:dyDescent="0.25">
      <c r="A46" s="24"/>
      <c r="B46" s="25"/>
      <c r="C46" s="52"/>
      <c r="D46" s="52"/>
      <c r="E46" s="52"/>
      <c r="F46" s="52"/>
      <c r="G46" s="53"/>
      <c r="H46" s="19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8" x14ac:dyDescent="0.25">
      <c r="A49" s="4" t="s">
        <v>40</v>
      </c>
      <c r="B49" s="1"/>
      <c r="C49" s="1"/>
      <c r="D49" s="1"/>
      <c r="E49" s="1"/>
      <c r="F49" s="1"/>
      <c r="G49" s="1"/>
      <c r="H49" s="1"/>
    </row>
    <row r="50" spans="1:8" x14ac:dyDescent="0.25">
      <c r="A50" s="6" t="str">
        <f>'[2]A RESERVAS 528'!$B$4</f>
        <v xml:space="preserve">     (al 30 de junio de 2004, montos expresados en U.F.)</v>
      </c>
      <c r="B50" s="1"/>
      <c r="C50" s="1"/>
      <c r="D50" s="1"/>
      <c r="E50" s="1"/>
      <c r="F50" s="1"/>
      <c r="G50" s="1"/>
      <c r="H50" s="1"/>
    </row>
    <row r="51" spans="1:8" x14ac:dyDescent="0.25">
      <c r="A51" s="9"/>
      <c r="B51" s="10"/>
      <c r="C51" s="10"/>
      <c r="D51" s="11"/>
      <c r="E51" s="27"/>
      <c r="F51" s="1"/>
      <c r="G51" s="1"/>
      <c r="H51" s="1"/>
    </row>
    <row r="52" spans="1:8" x14ac:dyDescent="0.25">
      <c r="A52" s="20"/>
      <c r="B52" s="1"/>
      <c r="C52" s="17" t="s">
        <v>41</v>
      </c>
      <c r="D52" s="54"/>
      <c r="E52" s="19"/>
      <c r="F52" s="1"/>
      <c r="G52" s="1"/>
      <c r="H52" s="1"/>
    </row>
    <row r="53" spans="1:8" x14ac:dyDescent="0.25">
      <c r="A53" s="12" t="s">
        <v>3</v>
      </c>
      <c r="B53" s="13" t="s">
        <v>4</v>
      </c>
      <c r="C53" s="136" t="s">
        <v>70</v>
      </c>
      <c r="D53" s="137"/>
      <c r="E53" s="19"/>
      <c r="F53" s="1"/>
      <c r="G53" s="1"/>
      <c r="H53" s="1"/>
    </row>
    <row r="54" spans="1:8" x14ac:dyDescent="0.25">
      <c r="A54" s="56"/>
      <c r="B54" s="57"/>
      <c r="C54" s="21" t="s">
        <v>43</v>
      </c>
      <c r="D54" s="23" t="s">
        <v>44</v>
      </c>
      <c r="E54" s="19"/>
      <c r="F54" s="1"/>
      <c r="G54" s="1"/>
      <c r="H54" s="1"/>
    </row>
    <row r="55" spans="1:8" x14ac:dyDescent="0.25">
      <c r="A55" s="24"/>
      <c r="B55" s="25"/>
      <c r="C55" s="25"/>
      <c r="D55" s="26"/>
      <c r="E55" s="27"/>
      <c r="F55" s="1"/>
      <c r="G55" s="1"/>
      <c r="H55" s="1"/>
    </row>
    <row r="56" spans="1:8" x14ac:dyDescent="0.25">
      <c r="A56" s="28" t="s">
        <v>9</v>
      </c>
      <c r="B56" s="29" t="s">
        <v>10</v>
      </c>
      <c r="C56" s="35">
        <v>1</v>
      </c>
      <c r="D56" s="36">
        <v>386</v>
      </c>
      <c r="E56" s="19"/>
      <c r="F56" s="1"/>
      <c r="G56" s="1"/>
      <c r="H56" s="1"/>
    </row>
    <row r="57" spans="1:8" x14ac:dyDescent="0.25">
      <c r="A57" s="33"/>
      <c r="B57" s="1"/>
      <c r="C57" s="30"/>
      <c r="D57" s="31"/>
      <c r="E57" s="19"/>
      <c r="F57" s="1"/>
      <c r="G57" s="1"/>
      <c r="H57" s="1"/>
    </row>
    <row r="58" spans="1:8" x14ac:dyDescent="0.25">
      <c r="A58" s="42" t="s">
        <v>27</v>
      </c>
      <c r="B58" s="29" t="s">
        <v>28</v>
      </c>
      <c r="C58" s="30">
        <v>17</v>
      </c>
      <c r="D58" s="31">
        <v>1844</v>
      </c>
      <c r="E58" s="19"/>
      <c r="F58" s="1"/>
      <c r="G58" s="1"/>
      <c r="H58" s="1"/>
    </row>
    <row r="59" spans="1:8" x14ac:dyDescent="0.25">
      <c r="A59" s="42"/>
      <c r="B59" s="29"/>
      <c r="C59" s="30"/>
      <c r="D59" s="31"/>
      <c r="E59" s="19"/>
      <c r="F59" s="1"/>
      <c r="G59" s="1"/>
      <c r="H59" s="1"/>
    </row>
    <row r="60" spans="1:8" x14ac:dyDescent="0.25">
      <c r="A60" s="122" t="s">
        <v>29</v>
      </c>
      <c r="B60" s="104" t="s">
        <v>15</v>
      </c>
      <c r="C60" s="58">
        <v>4</v>
      </c>
      <c r="D60" s="59">
        <v>300</v>
      </c>
      <c r="E60" s="19"/>
      <c r="F60" s="1"/>
      <c r="G60" s="1"/>
      <c r="H60" s="1"/>
    </row>
    <row r="61" spans="1:8" x14ac:dyDescent="0.25">
      <c r="A61" s="28"/>
      <c r="B61" s="29"/>
      <c r="C61" s="58"/>
      <c r="D61" s="59"/>
      <c r="E61" s="19"/>
      <c r="F61" s="1"/>
      <c r="G61" s="1"/>
      <c r="H61" s="1"/>
    </row>
    <row r="62" spans="1:8" x14ac:dyDescent="0.25">
      <c r="A62" s="60" t="s">
        <v>33</v>
      </c>
      <c r="B62" s="61" t="s">
        <v>21</v>
      </c>
      <c r="C62" s="62">
        <v>3</v>
      </c>
      <c r="D62" s="63">
        <v>803</v>
      </c>
      <c r="E62" s="19"/>
      <c r="F62" s="1"/>
      <c r="G62" s="1"/>
      <c r="H62" s="1"/>
    </row>
    <row r="63" spans="1:8" x14ac:dyDescent="0.25">
      <c r="A63" s="64"/>
      <c r="B63" s="65"/>
      <c r="C63" s="66"/>
      <c r="D63" s="67"/>
      <c r="E63" s="27"/>
      <c r="F63" s="1"/>
      <c r="G63" s="1"/>
      <c r="H63" s="1"/>
    </row>
    <row r="64" spans="1:8" x14ac:dyDescent="0.25">
      <c r="A64" s="28" t="s">
        <v>35</v>
      </c>
      <c r="B64" s="1"/>
      <c r="C64" s="38">
        <f>SUM(C56:C62)</f>
        <v>25</v>
      </c>
      <c r="D64" s="39">
        <f>SUM(D56:D62)</f>
        <v>3333</v>
      </c>
      <c r="E64" s="19"/>
      <c r="F64" s="1"/>
      <c r="G64" s="1"/>
      <c r="H64" s="1"/>
    </row>
    <row r="65" spans="1:16" x14ac:dyDescent="0.25">
      <c r="A65" s="49" t="s">
        <v>36</v>
      </c>
      <c r="B65" s="1"/>
      <c r="C65" s="38"/>
      <c r="D65" s="39">
        <f>D64*G65</f>
        <v>56710.828349999996</v>
      </c>
      <c r="E65" s="19"/>
      <c r="F65" s="50" t="s">
        <v>69</v>
      </c>
      <c r="G65" s="68">
        <v>17.014949999999999</v>
      </c>
      <c r="H65" s="1"/>
    </row>
    <row r="66" spans="1:16" x14ac:dyDescent="0.25">
      <c r="A66" s="24"/>
      <c r="B66" s="25"/>
      <c r="C66" s="69"/>
      <c r="D66" s="70"/>
      <c r="E66" s="27"/>
      <c r="F66" s="1"/>
      <c r="G66" s="1"/>
      <c r="H66" s="1"/>
    </row>
    <row r="69" spans="1:16" x14ac:dyDescent="0.25">
      <c r="A69" s="74" t="s">
        <v>47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1:16" x14ac:dyDescent="0.25">
      <c r="A70" s="75" t="str">
        <f>'[2]A RESERVAS 528'!$B$4</f>
        <v xml:space="preserve">     (al 30 de junio de 2004, montos expresados en U.F.)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 x14ac:dyDescent="0.25">
      <c r="A71" s="76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8"/>
      <c r="M71" s="79"/>
      <c r="N71" s="72"/>
      <c r="O71" s="72"/>
      <c r="P71" s="72"/>
    </row>
    <row r="72" spans="1:16" x14ac:dyDescent="0.25">
      <c r="A72" s="80"/>
      <c r="B72" s="72"/>
      <c r="C72" s="81"/>
      <c r="D72" s="82"/>
      <c r="E72" s="82" t="s">
        <v>48</v>
      </c>
      <c r="F72" s="82"/>
      <c r="G72" s="81"/>
      <c r="H72" s="81"/>
      <c r="I72" s="72"/>
      <c r="J72" s="83" t="s">
        <v>49</v>
      </c>
      <c r="K72" s="83"/>
      <c r="L72" s="84"/>
      <c r="M72" s="85"/>
      <c r="N72" s="72"/>
      <c r="O72" s="72"/>
      <c r="P72" s="72"/>
    </row>
    <row r="73" spans="1:16" x14ac:dyDescent="0.25">
      <c r="A73" s="86" t="s">
        <v>3</v>
      </c>
      <c r="B73" s="87" t="s">
        <v>4</v>
      </c>
      <c r="C73" s="88"/>
      <c r="D73" s="89" t="s">
        <v>50</v>
      </c>
      <c r="E73" s="88"/>
      <c r="F73" s="90"/>
      <c r="G73" s="91" t="s">
        <v>51</v>
      </c>
      <c r="H73" s="88"/>
      <c r="I73" s="72"/>
      <c r="J73" s="72"/>
      <c r="K73" s="72"/>
      <c r="L73" s="92"/>
      <c r="M73" s="85"/>
      <c r="N73" s="72"/>
      <c r="O73" s="72"/>
      <c r="P73" s="72"/>
    </row>
    <row r="74" spans="1:16" x14ac:dyDescent="0.25">
      <c r="A74" s="80"/>
      <c r="B74" s="72"/>
      <c r="C74" s="74" t="s">
        <v>52</v>
      </c>
      <c r="D74" s="93"/>
      <c r="E74" s="94" t="s">
        <v>53</v>
      </c>
      <c r="F74" s="95"/>
      <c r="G74" s="74" t="s">
        <v>54</v>
      </c>
      <c r="H74" s="96"/>
      <c r="I74" s="96"/>
      <c r="J74" s="74" t="s">
        <v>52</v>
      </c>
      <c r="K74" s="93"/>
      <c r="L74" s="97" t="s">
        <v>53</v>
      </c>
      <c r="M74" s="85"/>
      <c r="N74" s="72"/>
      <c r="O74" s="72"/>
      <c r="P74" s="72"/>
    </row>
    <row r="75" spans="1:16" x14ac:dyDescent="0.25">
      <c r="A75" s="80"/>
      <c r="B75" s="72"/>
      <c r="C75" s="98" t="s">
        <v>7</v>
      </c>
      <c r="D75" s="94" t="s">
        <v>8</v>
      </c>
      <c r="E75" s="98" t="s">
        <v>8</v>
      </c>
      <c r="F75" s="98"/>
      <c r="G75" s="94" t="s">
        <v>7</v>
      </c>
      <c r="H75" s="94" t="s">
        <v>55</v>
      </c>
      <c r="I75" s="94"/>
      <c r="J75" s="98" t="s">
        <v>7</v>
      </c>
      <c r="K75" s="98" t="s">
        <v>56</v>
      </c>
      <c r="L75" s="99" t="s">
        <v>8</v>
      </c>
      <c r="M75" s="85"/>
      <c r="N75" s="72"/>
      <c r="O75" s="72"/>
      <c r="P75" s="72"/>
    </row>
    <row r="76" spans="1:16" x14ac:dyDescent="0.25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2"/>
      <c r="M76" s="79"/>
      <c r="N76" s="72"/>
      <c r="O76" s="72"/>
      <c r="P76" s="72"/>
    </row>
    <row r="77" spans="1:16" x14ac:dyDescent="0.25">
      <c r="A77" s="103" t="s">
        <v>57</v>
      </c>
      <c r="B77" s="104" t="s">
        <v>14</v>
      </c>
      <c r="C77" s="105">
        <v>2292</v>
      </c>
      <c r="D77" s="105">
        <v>1419878</v>
      </c>
      <c r="E77" s="105">
        <v>112888</v>
      </c>
      <c r="F77" s="105"/>
      <c r="G77" s="105">
        <v>0</v>
      </c>
      <c r="H77" s="105">
        <v>0</v>
      </c>
      <c r="I77" s="105"/>
      <c r="J77" s="105">
        <v>1119</v>
      </c>
      <c r="K77" s="105">
        <v>151085</v>
      </c>
      <c r="L77" s="106">
        <v>51097</v>
      </c>
      <c r="M77" s="72"/>
      <c r="N77" s="72"/>
      <c r="O77" s="72"/>
      <c r="P77" s="72"/>
    </row>
    <row r="78" spans="1:16" x14ac:dyDescent="0.25">
      <c r="A78" s="10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9"/>
      <c r="M78" s="79"/>
      <c r="N78" s="72"/>
      <c r="O78" s="72"/>
      <c r="P78" s="72"/>
    </row>
    <row r="79" spans="1:16" x14ac:dyDescent="0.25">
      <c r="A79" s="103" t="s">
        <v>58</v>
      </c>
      <c r="B79" s="110" t="s">
        <v>12</v>
      </c>
      <c r="C79" s="111">
        <f>SUM(C80:C82)</f>
        <v>4</v>
      </c>
      <c r="D79" s="111">
        <f>SUM(D80:D82)</f>
        <v>397</v>
      </c>
      <c r="E79" s="111">
        <f>SUM(E80:E82)</f>
        <v>0</v>
      </c>
      <c r="F79" s="111"/>
      <c r="G79" s="111">
        <f>SUM(G80:G82)</f>
        <v>5</v>
      </c>
      <c r="H79" s="111">
        <f>SUM(H80:H82)</f>
        <v>924</v>
      </c>
      <c r="I79" s="111"/>
      <c r="J79" s="111">
        <f>SUM(J80:J82)</f>
        <v>12</v>
      </c>
      <c r="K79" s="111">
        <f>SUM(K80:K82)</f>
        <v>823</v>
      </c>
      <c r="L79" s="112">
        <f>SUM(L80:L82)</f>
        <v>0</v>
      </c>
      <c r="M79" s="72"/>
      <c r="N79" s="72"/>
      <c r="O79" s="72"/>
      <c r="P79" s="72"/>
    </row>
    <row r="80" spans="1:16" x14ac:dyDescent="0.25">
      <c r="A80" s="113"/>
      <c r="B80" s="104" t="s">
        <v>30</v>
      </c>
      <c r="C80" s="114">
        <v>0</v>
      </c>
      <c r="D80" s="114">
        <v>0</v>
      </c>
      <c r="E80" s="114">
        <v>0</v>
      </c>
      <c r="F80" s="114"/>
      <c r="G80" s="114">
        <v>1</v>
      </c>
      <c r="H80" s="114">
        <v>69</v>
      </c>
      <c r="I80" s="114"/>
      <c r="J80" s="114">
        <v>1</v>
      </c>
      <c r="K80" s="114">
        <v>229</v>
      </c>
      <c r="L80" s="115">
        <v>0</v>
      </c>
      <c r="M80" s="72"/>
      <c r="N80" s="72"/>
      <c r="O80" s="72"/>
      <c r="P80" s="72"/>
    </row>
    <row r="81" spans="1:16" x14ac:dyDescent="0.25">
      <c r="A81" s="113"/>
      <c r="B81" s="104" t="s">
        <v>24</v>
      </c>
      <c r="C81" s="114">
        <v>4</v>
      </c>
      <c r="D81" s="114">
        <v>397</v>
      </c>
      <c r="E81" s="114">
        <v>0</v>
      </c>
      <c r="F81" s="114"/>
      <c r="G81" s="114">
        <v>3</v>
      </c>
      <c r="H81" s="114">
        <v>830</v>
      </c>
      <c r="I81" s="114"/>
      <c r="J81" s="114">
        <v>2</v>
      </c>
      <c r="K81" s="114">
        <v>115</v>
      </c>
      <c r="L81" s="115">
        <v>0</v>
      </c>
      <c r="M81" s="72"/>
      <c r="N81" s="72"/>
      <c r="O81" s="72"/>
      <c r="P81" s="72"/>
    </row>
    <row r="82" spans="1:16" x14ac:dyDescent="0.25">
      <c r="A82" s="113"/>
      <c r="B82" s="116" t="s">
        <v>34</v>
      </c>
      <c r="C82" s="114">
        <v>0</v>
      </c>
      <c r="D82" s="114">
        <v>0</v>
      </c>
      <c r="E82" s="114">
        <v>0</v>
      </c>
      <c r="F82" s="114"/>
      <c r="G82" s="114">
        <v>1</v>
      </c>
      <c r="H82" s="114">
        <v>25</v>
      </c>
      <c r="I82" s="114"/>
      <c r="J82" s="114">
        <v>9</v>
      </c>
      <c r="K82" s="114">
        <v>479</v>
      </c>
      <c r="L82" s="115">
        <v>0</v>
      </c>
      <c r="M82" s="72"/>
      <c r="N82" s="72"/>
      <c r="O82" s="72"/>
      <c r="P82" s="72"/>
    </row>
    <row r="83" spans="1:16" x14ac:dyDescent="0.25">
      <c r="A83" s="113"/>
      <c r="B83" s="116"/>
      <c r="C83" s="114"/>
      <c r="D83" s="114"/>
      <c r="E83" s="114"/>
      <c r="F83" s="114"/>
      <c r="G83" s="114"/>
      <c r="H83" s="114"/>
      <c r="I83" s="114"/>
      <c r="J83" s="114"/>
      <c r="K83" s="114"/>
      <c r="L83" s="115"/>
      <c r="M83" s="72"/>
      <c r="N83" s="72"/>
      <c r="O83" s="72"/>
      <c r="P83" s="72"/>
    </row>
    <row r="84" spans="1:16" x14ac:dyDescent="0.25">
      <c r="A84" s="103" t="s">
        <v>11</v>
      </c>
      <c r="B84" s="110" t="s">
        <v>59</v>
      </c>
      <c r="C84" s="111">
        <f>SUM(C85:C89)</f>
        <v>197</v>
      </c>
      <c r="D84" s="111">
        <f>SUM(D85:D89)</f>
        <v>68956</v>
      </c>
      <c r="E84" s="111">
        <f>SUM(E85:E89)</f>
        <v>0</v>
      </c>
      <c r="F84" s="111"/>
      <c r="G84" s="111">
        <f>SUM(G85:G89)</f>
        <v>4</v>
      </c>
      <c r="H84" s="111">
        <f>SUM(H85:H89)</f>
        <v>113</v>
      </c>
      <c r="I84" s="111"/>
      <c r="J84" s="111">
        <f>SUM(J85:J89)</f>
        <v>23</v>
      </c>
      <c r="K84" s="111">
        <f>SUM(K85:K89)</f>
        <v>8091</v>
      </c>
      <c r="L84" s="112">
        <f>SUM(L85:L89)</f>
        <v>0</v>
      </c>
      <c r="M84" s="72"/>
      <c r="N84" s="72"/>
      <c r="O84" s="72"/>
      <c r="P84" s="72"/>
    </row>
    <row r="85" spans="1:16" x14ac:dyDescent="0.25">
      <c r="A85" s="113"/>
      <c r="B85" s="104" t="s">
        <v>60</v>
      </c>
      <c r="C85" s="114">
        <v>3</v>
      </c>
      <c r="D85" s="117">
        <v>2809</v>
      </c>
      <c r="E85" s="114">
        <v>0</v>
      </c>
      <c r="F85" s="114"/>
      <c r="G85" s="114">
        <v>0</v>
      </c>
      <c r="H85" s="114">
        <v>0</v>
      </c>
      <c r="I85" s="114"/>
      <c r="J85" s="114">
        <v>0</v>
      </c>
      <c r="K85" s="114">
        <v>0</v>
      </c>
      <c r="L85" s="115">
        <v>0</v>
      </c>
      <c r="M85" s="72"/>
      <c r="N85" s="72"/>
      <c r="O85" s="72"/>
      <c r="P85" s="72"/>
    </row>
    <row r="86" spans="1:16" x14ac:dyDescent="0.25">
      <c r="A86" s="113"/>
      <c r="B86" s="104" t="s">
        <v>61</v>
      </c>
      <c r="C86" s="114">
        <v>6</v>
      </c>
      <c r="D86" s="114">
        <v>2619</v>
      </c>
      <c r="E86" s="114">
        <v>0</v>
      </c>
      <c r="F86" s="114"/>
      <c r="G86" s="114">
        <v>0</v>
      </c>
      <c r="H86" s="114">
        <v>0</v>
      </c>
      <c r="I86" s="114"/>
      <c r="J86" s="114">
        <v>1</v>
      </c>
      <c r="K86" s="114">
        <v>712</v>
      </c>
      <c r="L86" s="115">
        <v>0</v>
      </c>
      <c r="M86" s="72"/>
      <c r="N86" s="72"/>
      <c r="O86" s="72"/>
      <c r="P86" s="72"/>
    </row>
    <row r="87" spans="1:16" x14ac:dyDescent="0.25">
      <c r="A87" s="113"/>
      <c r="B87" s="104" t="s">
        <v>22</v>
      </c>
      <c r="C87" s="114">
        <v>59</v>
      </c>
      <c r="D87" s="114">
        <v>20316</v>
      </c>
      <c r="E87" s="114">
        <v>0</v>
      </c>
      <c r="F87" s="114"/>
      <c r="G87" s="114">
        <v>0</v>
      </c>
      <c r="H87" s="114">
        <v>0</v>
      </c>
      <c r="I87" s="114"/>
      <c r="J87" s="114">
        <v>6</v>
      </c>
      <c r="K87" s="114">
        <v>4105</v>
      </c>
      <c r="L87" s="115">
        <v>0</v>
      </c>
      <c r="M87" s="72"/>
      <c r="N87" s="72"/>
      <c r="O87" s="72"/>
      <c r="P87" s="72"/>
    </row>
    <row r="88" spans="1:16" x14ac:dyDescent="0.25">
      <c r="A88" s="113"/>
      <c r="B88" s="104" t="s">
        <v>34</v>
      </c>
      <c r="C88" s="114">
        <v>5</v>
      </c>
      <c r="D88" s="114">
        <v>0</v>
      </c>
      <c r="E88" s="114">
        <v>0</v>
      </c>
      <c r="F88" s="114"/>
      <c r="G88" s="114">
        <v>1</v>
      </c>
      <c r="H88" s="114">
        <v>0</v>
      </c>
      <c r="I88" s="114"/>
      <c r="J88" s="114">
        <v>0</v>
      </c>
      <c r="K88" s="114">
        <v>0</v>
      </c>
      <c r="L88" s="115">
        <v>0</v>
      </c>
      <c r="M88" s="72"/>
      <c r="N88" s="72"/>
      <c r="O88" s="72"/>
      <c r="P88" s="72"/>
    </row>
    <row r="89" spans="1:16" x14ac:dyDescent="0.25">
      <c r="A89" s="113"/>
      <c r="B89" s="104" t="s">
        <v>28</v>
      </c>
      <c r="C89" s="114">
        <v>124</v>
      </c>
      <c r="D89" s="114">
        <v>43212</v>
      </c>
      <c r="E89" s="114">
        <v>0</v>
      </c>
      <c r="F89" s="114"/>
      <c r="G89" s="114">
        <v>3</v>
      </c>
      <c r="H89" s="114">
        <v>113</v>
      </c>
      <c r="I89" s="114"/>
      <c r="J89" s="114">
        <v>16</v>
      </c>
      <c r="K89" s="114">
        <v>3274</v>
      </c>
      <c r="L89" s="115">
        <v>0</v>
      </c>
      <c r="M89" s="72"/>
      <c r="N89" s="72"/>
      <c r="O89" s="72"/>
      <c r="P89" s="72"/>
    </row>
    <row r="90" spans="1:16" x14ac:dyDescent="0.25">
      <c r="A90" s="113"/>
      <c r="B90" s="104"/>
      <c r="C90" s="114"/>
      <c r="D90" s="114"/>
      <c r="E90" s="114"/>
      <c r="F90" s="114"/>
      <c r="G90" s="114"/>
      <c r="H90" s="114"/>
      <c r="I90" s="114"/>
      <c r="J90" s="114"/>
      <c r="K90" s="114"/>
      <c r="L90" s="115"/>
      <c r="M90" s="72"/>
      <c r="N90" s="72"/>
      <c r="O90" s="72"/>
      <c r="P90" s="72"/>
    </row>
    <row r="91" spans="1:16" x14ac:dyDescent="0.25">
      <c r="A91" s="103" t="s">
        <v>16</v>
      </c>
      <c r="B91" s="110" t="s">
        <v>12</v>
      </c>
      <c r="C91" s="111">
        <f>SUM(C92:C93)</f>
        <v>3753</v>
      </c>
      <c r="D91" s="111">
        <f>SUM(D92:D93)</f>
        <v>2945319</v>
      </c>
      <c r="E91" s="111">
        <f>SUM(E92:E93)</f>
        <v>93644</v>
      </c>
      <c r="F91" s="111"/>
      <c r="G91" s="111">
        <f>SUM(G92:G93)</f>
        <v>30</v>
      </c>
      <c r="H91" s="111">
        <f>SUM(H92:H93)</f>
        <v>11440</v>
      </c>
      <c r="I91" s="111"/>
      <c r="J91" s="111">
        <f>SUM(J92:J93)</f>
        <v>88</v>
      </c>
      <c r="K91" s="111">
        <f>SUM(K92:K93)</f>
        <v>25374</v>
      </c>
      <c r="L91" s="112">
        <f>SUM(L92:L93)</f>
        <v>53500</v>
      </c>
      <c r="M91" s="72"/>
      <c r="N91" s="72"/>
      <c r="O91" s="72"/>
      <c r="P91" s="72"/>
    </row>
    <row r="92" spans="1:16" x14ac:dyDescent="0.25">
      <c r="A92" s="113"/>
      <c r="B92" s="104" t="s">
        <v>17</v>
      </c>
      <c r="C92" s="114">
        <v>3654</v>
      </c>
      <c r="D92" s="114">
        <v>2871946</v>
      </c>
      <c r="E92" s="114">
        <v>93644</v>
      </c>
      <c r="F92" s="114"/>
      <c r="G92" s="114">
        <v>28</v>
      </c>
      <c r="H92" s="114">
        <v>9935</v>
      </c>
      <c r="I92" s="114"/>
      <c r="J92" s="114">
        <v>88</v>
      </c>
      <c r="K92" s="114">
        <v>25374</v>
      </c>
      <c r="L92" s="115">
        <v>53500</v>
      </c>
      <c r="M92" s="72"/>
      <c r="N92" s="72"/>
      <c r="O92" s="72"/>
      <c r="P92" s="72"/>
    </row>
    <row r="93" spans="1:16" x14ac:dyDescent="0.25">
      <c r="A93" s="113"/>
      <c r="B93" s="118" t="s">
        <v>30</v>
      </c>
      <c r="C93" s="119">
        <v>99</v>
      </c>
      <c r="D93" s="119">
        <v>73373</v>
      </c>
      <c r="E93" s="119">
        <v>0</v>
      </c>
      <c r="F93" s="119"/>
      <c r="G93" s="119">
        <v>2</v>
      </c>
      <c r="H93" s="119">
        <v>1505</v>
      </c>
      <c r="I93" s="119"/>
      <c r="J93" s="119">
        <v>0</v>
      </c>
      <c r="K93" s="119">
        <v>0</v>
      </c>
      <c r="L93" s="120">
        <v>0</v>
      </c>
      <c r="M93" s="72"/>
      <c r="N93" s="72"/>
      <c r="O93" s="72"/>
      <c r="P93" s="72"/>
    </row>
    <row r="94" spans="1:16" x14ac:dyDescent="0.25">
      <c r="A94" s="113"/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20"/>
      <c r="M94" s="72"/>
      <c r="N94" s="72"/>
      <c r="O94" s="72"/>
      <c r="P94" s="72"/>
    </row>
    <row r="95" spans="1:16" x14ac:dyDescent="0.25">
      <c r="A95" s="103" t="s">
        <v>27</v>
      </c>
      <c r="B95" s="110" t="s">
        <v>12</v>
      </c>
      <c r="C95" s="111">
        <f>SUM(C96:C102)</f>
        <v>7588</v>
      </c>
      <c r="D95" s="111">
        <f>SUM(D96:D102)</f>
        <v>5751150</v>
      </c>
      <c r="E95" s="111">
        <f t="shared" ref="E95:L95" si="0">SUM(E96:E102)</f>
        <v>69287</v>
      </c>
      <c r="F95" s="111"/>
      <c r="G95" s="111">
        <f t="shared" si="0"/>
        <v>106</v>
      </c>
      <c r="H95" s="111">
        <f t="shared" si="0"/>
        <v>24915</v>
      </c>
      <c r="I95" s="111"/>
      <c r="J95" s="111">
        <f t="shared" si="0"/>
        <v>1088</v>
      </c>
      <c r="K95" s="111">
        <f t="shared" si="0"/>
        <v>192725</v>
      </c>
      <c r="L95" s="112">
        <f t="shared" si="0"/>
        <v>85783</v>
      </c>
      <c r="M95" s="72"/>
      <c r="N95" s="72"/>
      <c r="O95" s="72"/>
      <c r="P95" s="72"/>
    </row>
    <row r="96" spans="1:16" x14ac:dyDescent="0.25">
      <c r="A96" s="113"/>
      <c r="B96" s="104" t="s">
        <v>60</v>
      </c>
      <c r="C96" s="114">
        <v>1</v>
      </c>
      <c r="D96" s="119">
        <v>465</v>
      </c>
      <c r="E96" s="119">
        <v>0</v>
      </c>
      <c r="F96" s="119"/>
      <c r="G96" s="119">
        <v>0</v>
      </c>
      <c r="H96" s="119">
        <v>0</v>
      </c>
      <c r="I96" s="119"/>
      <c r="J96" s="119">
        <v>0</v>
      </c>
      <c r="K96" s="119">
        <v>0</v>
      </c>
      <c r="L96" s="115">
        <v>0</v>
      </c>
      <c r="M96" s="72"/>
      <c r="N96" s="72"/>
      <c r="O96" s="72"/>
      <c r="P96" s="72"/>
    </row>
    <row r="97" spans="1:16" x14ac:dyDescent="0.25">
      <c r="A97" s="113"/>
      <c r="B97" s="116" t="s">
        <v>61</v>
      </c>
      <c r="C97" s="114">
        <v>1</v>
      </c>
      <c r="D97" s="114">
        <v>798</v>
      </c>
      <c r="E97" s="114">
        <v>0</v>
      </c>
      <c r="F97" s="114"/>
      <c r="G97" s="114">
        <v>0</v>
      </c>
      <c r="H97" s="114">
        <v>0</v>
      </c>
      <c r="I97" s="114"/>
      <c r="J97" s="114">
        <v>0</v>
      </c>
      <c r="K97" s="114">
        <v>0</v>
      </c>
      <c r="L97" s="115">
        <v>0</v>
      </c>
      <c r="M97" s="72"/>
      <c r="N97" s="72"/>
      <c r="O97" s="72"/>
      <c r="P97" s="72"/>
    </row>
    <row r="98" spans="1:16" x14ac:dyDescent="0.25">
      <c r="A98" s="113"/>
      <c r="B98" s="104" t="s">
        <v>30</v>
      </c>
      <c r="C98" s="114">
        <f>175+56</f>
        <v>231</v>
      </c>
      <c r="D98" s="114">
        <f>133086+50566</f>
        <v>183652</v>
      </c>
      <c r="E98" s="114">
        <f>1843+0</f>
        <v>1843</v>
      </c>
      <c r="F98" s="114"/>
      <c r="G98" s="114">
        <v>1</v>
      </c>
      <c r="H98" s="114">
        <v>76</v>
      </c>
      <c r="I98" s="114"/>
      <c r="J98" s="114">
        <v>14</v>
      </c>
      <c r="K98" s="114">
        <v>7640</v>
      </c>
      <c r="L98" s="115">
        <v>4333</v>
      </c>
      <c r="M98" s="72"/>
      <c r="N98" s="72"/>
      <c r="O98" s="72"/>
      <c r="P98" s="72"/>
    </row>
    <row r="99" spans="1:16" x14ac:dyDescent="0.25">
      <c r="A99" s="113"/>
      <c r="B99" s="104" t="s">
        <v>24</v>
      </c>
      <c r="C99" s="114">
        <v>217</v>
      </c>
      <c r="D99" s="114">
        <v>93172</v>
      </c>
      <c r="E99" s="114">
        <v>7542</v>
      </c>
      <c r="F99" s="114"/>
      <c r="G99" s="114">
        <v>0</v>
      </c>
      <c r="H99" s="114">
        <v>0</v>
      </c>
      <c r="I99" s="114"/>
      <c r="J99" s="114">
        <v>50</v>
      </c>
      <c r="K99" s="114">
        <v>3931</v>
      </c>
      <c r="L99" s="115">
        <v>8648</v>
      </c>
      <c r="M99" s="72"/>
      <c r="N99" s="72"/>
      <c r="O99" s="72"/>
      <c r="P99" s="72"/>
    </row>
    <row r="100" spans="1:16" x14ac:dyDescent="0.25">
      <c r="A100" s="113"/>
      <c r="B100" s="116" t="s">
        <v>14</v>
      </c>
      <c r="C100" s="114">
        <v>4777</v>
      </c>
      <c r="D100" s="119">
        <v>3549858</v>
      </c>
      <c r="E100" s="119">
        <v>0</v>
      </c>
      <c r="F100" s="119"/>
      <c r="G100" s="119">
        <v>92</v>
      </c>
      <c r="H100" s="119">
        <v>19330</v>
      </c>
      <c r="I100" s="119"/>
      <c r="J100" s="119">
        <v>296</v>
      </c>
      <c r="K100" s="119">
        <v>55369</v>
      </c>
      <c r="L100" s="115">
        <v>11063</v>
      </c>
      <c r="M100" s="72"/>
      <c r="N100" s="72"/>
      <c r="O100" s="72"/>
      <c r="P100" s="72"/>
    </row>
    <row r="101" spans="1:16" x14ac:dyDescent="0.25">
      <c r="A101" s="113"/>
      <c r="B101" s="104" t="s">
        <v>28</v>
      </c>
      <c r="C101" s="114">
        <f>2+2355</f>
        <v>2357</v>
      </c>
      <c r="D101" s="119">
        <f>1918155+636</f>
        <v>1918791</v>
      </c>
      <c r="E101" s="119">
        <v>59902</v>
      </c>
      <c r="F101" s="119"/>
      <c r="G101" s="119">
        <v>13</v>
      </c>
      <c r="H101" s="119">
        <v>5509</v>
      </c>
      <c r="I101" s="119"/>
      <c r="J101" s="119">
        <f>710+18</f>
        <v>728</v>
      </c>
      <c r="K101" s="119">
        <f>124649+1136</f>
        <v>125785</v>
      </c>
      <c r="L101" s="115">
        <v>61739</v>
      </c>
      <c r="M101" s="72"/>
      <c r="N101" s="72"/>
      <c r="O101" s="72"/>
      <c r="P101" s="72"/>
    </row>
    <row r="102" spans="1:16" x14ac:dyDescent="0.25">
      <c r="A102" s="113"/>
      <c r="B102" s="116" t="s">
        <v>19</v>
      </c>
      <c r="C102" s="114">
        <v>4</v>
      </c>
      <c r="D102" s="114">
        <v>4414</v>
      </c>
      <c r="E102" s="114">
        <v>0</v>
      </c>
      <c r="F102" s="114"/>
      <c r="G102" s="114">
        <v>0</v>
      </c>
      <c r="H102" s="114">
        <v>0</v>
      </c>
      <c r="I102" s="114"/>
      <c r="J102" s="114">
        <v>0</v>
      </c>
      <c r="K102" s="114">
        <v>0</v>
      </c>
      <c r="L102" s="115">
        <v>0</v>
      </c>
      <c r="M102" s="72"/>
      <c r="N102" s="72"/>
      <c r="O102" s="72"/>
      <c r="P102" s="72"/>
    </row>
    <row r="103" spans="1:16" x14ac:dyDescent="0.25">
      <c r="A103" s="113"/>
      <c r="B103" s="118"/>
      <c r="C103" s="121"/>
      <c r="D103" s="121"/>
      <c r="E103" s="119"/>
      <c r="F103" s="119"/>
      <c r="G103" s="119"/>
      <c r="H103" s="119"/>
      <c r="I103" s="119"/>
      <c r="J103" s="121"/>
      <c r="K103" s="121"/>
      <c r="L103" s="120"/>
      <c r="M103" s="72"/>
      <c r="N103" s="72"/>
      <c r="O103" s="72"/>
      <c r="P103" s="72"/>
    </row>
    <row r="104" spans="1:16" x14ac:dyDescent="0.25">
      <c r="A104" s="122" t="s">
        <v>29</v>
      </c>
      <c r="B104" s="104" t="s">
        <v>15</v>
      </c>
      <c r="C104" s="105">
        <v>1</v>
      </c>
      <c r="D104" s="105">
        <v>96</v>
      </c>
      <c r="E104" s="105">
        <v>0</v>
      </c>
      <c r="F104" s="105"/>
      <c r="G104" s="105">
        <v>0</v>
      </c>
      <c r="H104" s="105">
        <v>0</v>
      </c>
      <c r="I104" s="105"/>
      <c r="J104" s="105">
        <v>0</v>
      </c>
      <c r="K104" s="105">
        <v>0</v>
      </c>
      <c r="L104" s="106">
        <v>0</v>
      </c>
      <c r="M104" s="72"/>
      <c r="N104" s="72"/>
      <c r="O104" s="72"/>
      <c r="P104" s="72"/>
    </row>
    <row r="105" spans="1:16" x14ac:dyDescent="0.25">
      <c r="A105" s="122"/>
      <c r="B105" s="104"/>
      <c r="C105" s="105"/>
      <c r="D105" s="105"/>
      <c r="E105" s="105"/>
      <c r="F105" s="105"/>
      <c r="G105" s="105"/>
      <c r="H105" s="105"/>
      <c r="I105" s="105"/>
      <c r="J105" s="105"/>
      <c r="K105" s="105"/>
      <c r="L105" s="106"/>
      <c r="M105" s="72"/>
      <c r="N105" s="72"/>
      <c r="O105" s="72"/>
      <c r="P105" s="72"/>
    </row>
    <row r="106" spans="1:16" x14ac:dyDescent="0.25">
      <c r="A106" s="103" t="s">
        <v>64</v>
      </c>
      <c r="B106" s="104" t="s">
        <v>19</v>
      </c>
      <c r="C106" s="105">
        <f>8+221</f>
        <v>229</v>
      </c>
      <c r="D106" s="105">
        <f>10199+257443</f>
        <v>267642</v>
      </c>
      <c r="E106" s="105">
        <v>0</v>
      </c>
      <c r="F106" s="105"/>
      <c r="G106" s="105">
        <f>6+5</f>
        <v>11</v>
      </c>
      <c r="H106" s="105">
        <f>41+0</f>
        <v>41</v>
      </c>
      <c r="I106" s="105"/>
      <c r="J106" s="123">
        <f>1+1</f>
        <v>2</v>
      </c>
      <c r="K106" s="105">
        <f>230+246</f>
        <v>476</v>
      </c>
      <c r="L106" s="106">
        <v>0</v>
      </c>
      <c r="M106" s="72"/>
      <c r="N106" s="72"/>
      <c r="O106" s="72"/>
      <c r="P106" s="72"/>
    </row>
    <row r="107" spans="1:16" x14ac:dyDescent="0.25">
      <c r="A107" s="113"/>
      <c r="B107" s="118"/>
      <c r="C107" s="105"/>
      <c r="D107" s="105"/>
      <c r="E107" s="105"/>
      <c r="F107" s="105"/>
      <c r="G107" s="105"/>
      <c r="H107" s="105"/>
      <c r="I107" s="105"/>
      <c r="J107" s="105"/>
      <c r="K107" s="105"/>
      <c r="L107" s="106"/>
      <c r="M107" s="72"/>
      <c r="N107" s="72"/>
      <c r="O107" s="72"/>
      <c r="P107" s="72"/>
    </row>
    <row r="108" spans="1:16" x14ac:dyDescent="0.25">
      <c r="A108" s="103" t="s">
        <v>31</v>
      </c>
      <c r="B108" s="104" t="s">
        <v>22</v>
      </c>
      <c r="C108" s="105">
        <v>1227</v>
      </c>
      <c r="D108" s="105">
        <v>1761858</v>
      </c>
      <c r="E108" s="105">
        <v>88127</v>
      </c>
      <c r="F108" s="105"/>
      <c r="G108" s="105">
        <v>16</v>
      </c>
      <c r="H108" s="105">
        <v>20088</v>
      </c>
      <c r="I108" s="105"/>
      <c r="J108" s="105">
        <f>44+1</f>
        <v>45</v>
      </c>
      <c r="K108" s="105">
        <f>1592+27628</f>
        <v>29220</v>
      </c>
      <c r="L108" s="106">
        <v>55335</v>
      </c>
      <c r="M108" s="72"/>
      <c r="N108" s="72"/>
      <c r="O108" s="72"/>
      <c r="P108" s="72"/>
    </row>
    <row r="109" spans="1:16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92"/>
      <c r="M109" s="72"/>
      <c r="N109" s="72"/>
      <c r="O109" s="72"/>
      <c r="P109" s="72"/>
    </row>
    <row r="110" spans="1:16" x14ac:dyDescent="0.25">
      <c r="A110" s="103" t="s">
        <v>65</v>
      </c>
      <c r="B110" s="104" t="s">
        <v>19</v>
      </c>
      <c r="C110" s="105">
        <v>1</v>
      </c>
      <c r="D110" s="105">
        <v>81</v>
      </c>
      <c r="E110" s="105">
        <v>0</v>
      </c>
      <c r="F110" s="105"/>
      <c r="G110" s="105">
        <v>0</v>
      </c>
      <c r="H110" s="105">
        <v>0</v>
      </c>
      <c r="I110" s="105"/>
      <c r="J110" s="123">
        <v>0</v>
      </c>
      <c r="K110" s="105">
        <v>0</v>
      </c>
      <c r="L110" s="106">
        <v>0</v>
      </c>
      <c r="M110" s="72"/>
      <c r="N110" s="72"/>
      <c r="O110" s="72"/>
      <c r="P110" s="72"/>
    </row>
    <row r="111" spans="1:16" x14ac:dyDescent="0.25">
      <c r="A111" s="113"/>
      <c r="B111" s="11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5"/>
      <c r="M111" s="72"/>
      <c r="N111" s="72"/>
      <c r="O111" s="72"/>
      <c r="P111" s="72"/>
    </row>
    <row r="112" spans="1:16" x14ac:dyDescent="0.25">
      <c r="A112" s="103" t="s">
        <v>32</v>
      </c>
      <c r="B112" s="104" t="s">
        <v>24</v>
      </c>
      <c r="C112" s="105">
        <v>495</v>
      </c>
      <c r="D112" s="105">
        <v>242433</v>
      </c>
      <c r="E112" s="105">
        <v>0</v>
      </c>
      <c r="F112" s="105"/>
      <c r="G112" s="105">
        <v>0</v>
      </c>
      <c r="H112" s="105">
        <v>0</v>
      </c>
      <c r="I112" s="105"/>
      <c r="J112" s="105">
        <v>25</v>
      </c>
      <c r="K112" s="105">
        <v>2323</v>
      </c>
      <c r="L112" s="106">
        <v>193</v>
      </c>
      <c r="M112" s="72"/>
      <c r="N112" s="72"/>
      <c r="O112" s="72"/>
      <c r="P112" s="72"/>
    </row>
    <row r="113" spans="1:16" x14ac:dyDescent="0.25">
      <c r="A113" s="113" t="s">
        <v>66</v>
      </c>
      <c r="B113" s="11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5"/>
      <c r="M113" s="72"/>
      <c r="N113" s="72"/>
      <c r="O113" s="72"/>
      <c r="P113" s="72"/>
    </row>
    <row r="114" spans="1:16" x14ac:dyDescent="0.25">
      <c r="A114" s="103" t="s">
        <v>33</v>
      </c>
      <c r="B114" s="104" t="s">
        <v>30</v>
      </c>
      <c r="C114" s="105">
        <v>26</v>
      </c>
      <c r="D114" s="105">
        <v>29249</v>
      </c>
      <c r="E114" s="105">
        <v>0</v>
      </c>
      <c r="F114" s="105"/>
      <c r="G114" s="105">
        <v>0</v>
      </c>
      <c r="H114" s="105">
        <v>0</v>
      </c>
      <c r="I114" s="105"/>
      <c r="J114" s="105">
        <v>0</v>
      </c>
      <c r="K114" s="105">
        <v>0</v>
      </c>
      <c r="L114" s="106">
        <v>0</v>
      </c>
      <c r="M114" s="72"/>
      <c r="N114" s="72"/>
      <c r="O114" s="72"/>
      <c r="P114" s="72"/>
    </row>
    <row r="115" spans="1:16" x14ac:dyDescent="0.25">
      <c r="A115" s="113"/>
      <c r="B115" s="118"/>
      <c r="C115" s="114"/>
      <c r="D115" s="114"/>
      <c r="E115" s="114"/>
      <c r="F115" s="114"/>
      <c r="G115" s="114"/>
      <c r="H115" s="114"/>
      <c r="I115" s="114"/>
      <c r="J115" s="114"/>
      <c r="K115" s="114"/>
      <c r="L115" s="115"/>
      <c r="M115" s="72"/>
      <c r="N115" s="72"/>
      <c r="O115" s="72"/>
      <c r="P115" s="72"/>
    </row>
    <row r="116" spans="1:16" x14ac:dyDescent="0.25">
      <c r="A116" s="103" t="s">
        <v>67</v>
      </c>
      <c r="B116" s="110" t="s">
        <v>12</v>
      </c>
      <c r="C116" s="111">
        <f>SUM(C117:C118)</f>
        <v>1049</v>
      </c>
      <c r="D116" s="111">
        <f>SUM(D117:D118)</f>
        <v>1193301</v>
      </c>
      <c r="E116" s="111">
        <f t="shared" ref="E116:L116" si="1">SUM(E117:E118)</f>
        <v>43112</v>
      </c>
      <c r="F116" s="111"/>
      <c r="G116" s="111">
        <f t="shared" si="1"/>
        <v>5</v>
      </c>
      <c r="H116" s="111">
        <f t="shared" si="1"/>
        <v>2748</v>
      </c>
      <c r="I116" s="111"/>
      <c r="J116" s="111">
        <f t="shared" si="1"/>
        <v>91</v>
      </c>
      <c r="K116" s="111">
        <f t="shared" si="1"/>
        <v>37328</v>
      </c>
      <c r="L116" s="112">
        <f t="shared" si="1"/>
        <v>23379</v>
      </c>
      <c r="M116" s="72"/>
      <c r="N116" s="72"/>
      <c r="O116" s="72"/>
      <c r="P116" s="72"/>
    </row>
    <row r="117" spans="1:16" x14ac:dyDescent="0.25">
      <c r="A117" s="80"/>
      <c r="B117" s="104" t="s">
        <v>34</v>
      </c>
      <c r="C117" s="114">
        <v>1</v>
      </c>
      <c r="D117" s="114">
        <v>228</v>
      </c>
      <c r="E117" s="114">
        <v>0</v>
      </c>
      <c r="F117" s="114"/>
      <c r="G117" s="114">
        <v>0</v>
      </c>
      <c r="H117" s="114">
        <v>0</v>
      </c>
      <c r="I117" s="114"/>
      <c r="J117" s="119">
        <v>1</v>
      </c>
      <c r="K117" s="114">
        <v>661</v>
      </c>
      <c r="L117" s="115">
        <v>0</v>
      </c>
      <c r="M117" s="72"/>
      <c r="N117" s="72"/>
      <c r="O117" s="72"/>
      <c r="P117" s="72"/>
    </row>
    <row r="118" spans="1:16" x14ac:dyDescent="0.25">
      <c r="A118" s="124"/>
      <c r="B118" s="104" t="s">
        <v>19</v>
      </c>
      <c r="C118" s="114">
        <f>362+686</f>
        <v>1048</v>
      </c>
      <c r="D118" s="114">
        <f>323134+869939</f>
        <v>1193073</v>
      </c>
      <c r="E118" s="114">
        <v>43112</v>
      </c>
      <c r="F118" s="114"/>
      <c r="G118" s="114">
        <f>1+4</f>
        <v>5</v>
      </c>
      <c r="H118" s="114">
        <f>308+2440</f>
        <v>2748</v>
      </c>
      <c r="I118" s="114"/>
      <c r="J118" s="119">
        <f>76+14</f>
        <v>90</v>
      </c>
      <c r="K118" s="114">
        <f>30963+5704</f>
        <v>36667</v>
      </c>
      <c r="L118" s="125">
        <f>21820+1559</f>
        <v>23379</v>
      </c>
      <c r="M118" s="72"/>
      <c r="N118" s="72"/>
      <c r="O118" s="72"/>
      <c r="P118" s="72"/>
    </row>
    <row r="119" spans="1:16" x14ac:dyDescent="0.25">
      <c r="A119" s="76"/>
      <c r="B119" s="77"/>
      <c r="C119" s="126"/>
      <c r="D119" s="126"/>
      <c r="E119" s="126"/>
      <c r="F119" s="126"/>
      <c r="G119" s="126"/>
      <c r="H119" s="126"/>
      <c r="I119" s="126"/>
      <c r="J119" s="126"/>
      <c r="K119" s="126"/>
      <c r="L119" s="127"/>
      <c r="M119" s="79"/>
      <c r="N119" s="72"/>
      <c r="O119" s="72"/>
      <c r="P119" s="72"/>
    </row>
    <row r="120" spans="1:16" x14ac:dyDescent="0.25">
      <c r="A120" s="103" t="s">
        <v>35</v>
      </c>
      <c r="B120" s="72"/>
      <c r="C120" s="128">
        <f>C116+C106+C112+C110+C114+C108+C104+C91+C84+C79+C95+C77</f>
        <v>16862</v>
      </c>
      <c r="D120" s="128">
        <f>D116+D106+D112+D110+D114+D108+D104+D91+D84+D79+D95+D77</f>
        <v>13680360</v>
      </c>
      <c r="E120" s="128">
        <f>E116+E106+E112+E110+E114+E108+E104+E91+E84+E79+E95+E77</f>
        <v>407058</v>
      </c>
      <c r="F120" s="128"/>
      <c r="G120" s="128">
        <f>G116+G106+G112+G110+G114+G108+G104+G91+G84+G79+G95+G77</f>
        <v>177</v>
      </c>
      <c r="H120" s="128">
        <f>H116+H106+H112+H110+H114+H108+H104+H91+H84+H79+H95+H77</f>
        <v>60269</v>
      </c>
      <c r="I120" s="128"/>
      <c r="J120" s="128">
        <f>J116+J106+J112+J110+J114+J108+J104+J91+J84+J79+J95+J77</f>
        <v>2493</v>
      </c>
      <c r="K120" s="128">
        <f>K116+K106+K112+K110+K114+K108+K104+K91+K84+K79+K95+K77</f>
        <v>447445</v>
      </c>
      <c r="L120" s="129">
        <f>L116+L106+L112+L110+L114+L108+L104+L91+L84+L79+L95+L77</f>
        <v>269287</v>
      </c>
      <c r="M120" s="85"/>
      <c r="N120" s="72"/>
      <c r="O120" s="72"/>
      <c r="P120" s="72"/>
    </row>
    <row r="121" spans="1:16" x14ac:dyDescent="0.25">
      <c r="A121" s="130" t="s">
        <v>36</v>
      </c>
      <c r="B121" s="72"/>
      <c r="C121" s="128"/>
      <c r="D121" s="128">
        <f>D120*O121</f>
        <v>232770641.382</v>
      </c>
      <c r="E121" s="128">
        <f>E120*O121</f>
        <v>6926071.5170999998</v>
      </c>
      <c r="F121" s="128"/>
      <c r="G121" s="128"/>
      <c r="H121" s="128">
        <f>H120*O121</f>
        <v>1025474.0215499999</v>
      </c>
      <c r="I121" s="128"/>
      <c r="J121" s="128"/>
      <c r="K121" s="128">
        <f>K120*O121</f>
        <v>7613254.3027499998</v>
      </c>
      <c r="L121" s="129">
        <f>L120*O121</f>
        <v>4581904.8406499997</v>
      </c>
      <c r="M121" s="85"/>
      <c r="N121" s="50" t="s">
        <v>69</v>
      </c>
      <c r="O121" s="51">
        <v>17.014949999999999</v>
      </c>
      <c r="P121" s="72"/>
    </row>
    <row r="122" spans="1:16" x14ac:dyDescent="0.25">
      <c r="A122" s="100"/>
      <c r="B122" s="10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2"/>
      <c r="M122" s="79"/>
      <c r="N122" s="72"/>
      <c r="O122" s="72"/>
      <c r="P122" s="72"/>
    </row>
    <row r="123" spans="1:16" x14ac:dyDescent="0.25">
      <c r="A123" s="1"/>
      <c r="B123" s="133"/>
      <c r="C123" s="133"/>
      <c r="D123" s="134"/>
      <c r="E123" s="134"/>
      <c r="F123" s="134"/>
      <c r="G123" s="133"/>
      <c r="H123" s="133"/>
      <c r="I123" s="133"/>
      <c r="J123" s="133"/>
      <c r="K123" s="133"/>
      <c r="L123" s="133"/>
      <c r="M123" s="133"/>
      <c r="N123" s="72"/>
      <c r="O123" s="72"/>
      <c r="P123" s="72"/>
    </row>
    <row r="124" spans="1:16" x14ac:dyDescent="0.25">
      <c r="A124" s="134"/>
      <c r="B124" s="133"/>
      <c r="C124" s="133"/>
      <c r="D124" s="134"/>
      <c r="E124" s="134"/>
      <c r="F124" s="134"/>
      <c r="G124" s="133"/>
      <c r="H124" s="133"/>
      <c r="I124" s="133"/>
      <c r="J124" s="133"/>
      <c r="K124" s="133"/>
      <c r="L124" s="133"/>
      <c r="M124" s="133"/>
      <c r="N124" s="72"/>
      <c r="O124" s="72"/>
      <c r="P124" s="72"/>
    </row>
  </sheetData>
  <mergeCells count="1">
    <mergeCell ref="C53:D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8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3" customWidth="1"/>
    <col min="5" max="5" width="9.5703125" bestFit="1" customWidth="1"/>
    <col min="7" max="7" width="19.7109375" bestFit="1" customWidth="1"/>
    <col min="8" max="8" width="10.140625" bestFit="1" customWidth="1"/>
    <col min="10" max="10" width="15.28515625" bestFit="1" customWidth="1"/>
    <col min="11" max="11" width="10.140625" bestFit="1" customWidth="1"/>
    <col min="15" max="15" width="15.28515625" bestFit="1" customWidth="1"/>
    <col min="16" max="16" width="10.140625" bestFit="1" customWidth="1"/>
  </cols>
  <sheetData>
    <row r="1" spans="2:12" x14ac:dyDescent="0.25">
      <c r="B1" s="4" t="s">
        <v>1</v>
      </c>
      <c r="C1" s="1"/>
      <c r="D1" s="1"/>
      <c r="E1" s="1"/>
      <c r="F1" s="1"/>
      <c r="G1" s="1"/>
      <c r="H1" s="1"/>
      <c r="I1" s="5"/>
      <c r="J1" s="1"/>
      <c r="K1" s="1"/>
      <c r="L1" s="1"/>
    </row>
    <row r="2" spans="2:12" x14ac:dyDescent="0.25">
      <c r="B2" s="6" t="s">
        <v>71</v>
      </c>
      <c r="C2" s="1"/>
      <c r="D2" s="1"/>
      <c r="E2" s="1"/>
      <c r="F2" s="1"/>
      <c r="G2" s="1"/>
      <c r="H2" s="1"/>
      <c r="I2" s="5"/>
      <c r="J2" s="1"/>
      <c r="K2" s="1"/>
      <c r="L2" s="7"/>
    </row>
    <row r="3" spans="2:12" x14ac:dyDescent="0.25">
      <c r="B3" s="9"/>
      <c r="C3" s="10"/>
      <c r="D3" s="10"/>
      <c r="E3" s="10"/>
      <c r="F3" s="10"/>
      <c r="G3" s="10"/>
      <c r="H3" s="11"/>
      <c r="I3" s="1"/>
      <c r="J3" s="1"/>
      <c r="K3" s="1"/>
      <c r="L3" s="7"/>
    </row>
    <row r="4" spans="2:12" x14ac:dyDescent="0.25">
      <c r="B4" s="12" t="s">
        <v>3</v>
      </c>
      <c r="C4" s="13" t="s">
        <v>4</v>
      </c>
      <c r="D4" s="14"/>
      <c r="E4" s="15" t="s">
        <v>5</v>
      </c>
      <c r="F4" s="16"/>
      <c r="G4" s="17" t="s">
        <v>6</v>
      </c>
      <c r="H4" s="18"/>
      <c r="I4" s="19"/>
      <c r="J4" s="1"/>
      <c r="K4" s="1"/>
      <c r="L4" s="7"/>
    </row>
    <row r="5" spans="2:12" x14ac:dyDescent="0.25">
      <c r="B5" s="20"/>
      <c r="C5" s="1"/>
      <c r="D5" s="21" t="s">
        <v>7</v>
      </c>
      <c r="E5" s="22" t="s">
        <v>8</v>
      </c>
      <c r="F5" s="22"/>
      <c r="G5" s="21" t="s">
        <v>7</v>
      </c>
      <c r="H5" s="23" t="s">
        <v>8</v>
      </c>
      <c r="I5" s="19"/>
      <c r="J5" s="1"/>
      <c r="K5" s="1"/>
      <c r="L5" s="7"/>
    </row>
    <row r="6" spans="2:12" x14ac:dyDescent="0.25">
      <c r="B6" s="24"/>
      <c r="C6" s="25"/>
      <c r="D6" s="25"/>
      <c r="E6" s="25"/>
      <c r="F6" s="25"/>
      <c r="G6" s="25"/>
      <c r="H6" s="26"/>
      <c r="I6" s="27"/>
      <c r="J6" s="1"/>
      <c r="K6" s="1"/>
      <c r="L6" s="7"/>
    </row>
    <row r="7" spans="2:12" x14ac:dyDescent="0.25">
      <c r="B7" s="28" t="s">
        <v>9</v>
      </c>
      <c r="C7" s="29" t="s">
        <v>10</v>
      </c>
      <c r="D7" s="30">
        <v>159</v>
      </c>
      <c r="E7" s="30">
        <v>145302</v>
      </c>
      <c r="F7" s="1"/>
      <c r="G7" s="30">
        <v>133</v>
      </c>
      <c r="H7" s="31">
        <v>67000</v>
      </c>
      <c r="I7" s="19"/>
      <c r="J7" s="32"/>
      <c r="K7" s="32"/>
      <c r="L7" s="7"/>
    </row>
    <row r="8" spans="2:12" x14ac:dyDescent="0.25">
      <c r="B8" s="33"/>
      <c r="C8" s="34"/>
      <c r="D8" s="35"/>
      <c r="E8" s="35"/>
      <c r="F8" s="35"/>
      <c r="G8" s="35"/>
      <c r="H8" s="36"/>
      <c r="I8" s="19"/>
      <c r="J8" s="32"/>
      <c r="K8" s="32"/>
      <c r="L8" s="7"/>
    </row>
    <row r="9" spans="2:12" x14ac:dyDescent="0.25">
      <c r="B9" s="28" t="s">
        <v>11</v>
      </c>
      <c r="C9" s="37" t="s">
        <v>12</v>
      </c>
      <c r="D9" s="38">
        <f>SUM(D10:D12)</f>
        <v>3653</v>
      </c>
      <c r="E9" s="38">
        <f>SUM(E10:E12)</f>
        <v>4058962</v>
      </c>
      <c r="F9" s="38"/>
      <c r="G9" s="38">
        <f>SUM(G10:G12)</f>
        <v>2809</v>
      </c>
      <c r="H9" s="39">
        <f>SUM(H10:H12)</f>
        <v>1752335</v>
      </c>
      <c r="I9" s="19"/>
      <c r="J9" s="32"/>
      <c r="K9" s="32"/>
      <c r="L9" s="7"/>
    </row>
    <row r="10" spans="2:12" x14ac:dyDescent="0.25">
      <c r="B10" s="28"/>
      <c r="C10" s="29" t="s">
        <v>13</v>
      </c>
      <c r="D10" s="35">
        <v>362</v>
      </c>
      <c r="E10" s="35">
        <v>354863</v>
      </c>
      <c r="F10" s="35"/>
      <c r="G10" s="35">
        <v>334</v>
      </c>
      <c r="H10" s="36">
        <v>178190</v>
      </c>
      <c r="I10" s="19"/>
      <c r="J10" s="32"/>
      <c r="K10" s="32"/>
      <c r="L10" s="7"/>
    </row>
    <row r="11" spans="2:12" x14ac:dyDescent="0.25">
      <c r="B11" s="33"/>
      <c r="C11" s="29" t="s">
        <v>14</v>
      </c>
      <c r="D11" s="30">
        <v>3150</v>
      </c>
      <c r="E11" s="30">
        <v>3596301</v>
      </c>
      <c r="F11" s="30"/>
      <c r="G11" s="30">
        <v>2366</v>
      </c>
      <c r="H11" s="31">
        <v>1522393</v>
      </c>
      <c r="I11" s="19"/>
      <c r="J11" s="32"/>
      <c r="K11" s="32"/>
      <c r="L11" s="8"/>
    </row>
    <row r="12" spans="2:12" x14ac:dyDescent="0.25">
      <c r="B12" s="33"/>
      <c r="C12" s="29" t="s">
        <v>15</v>
      </c>
      <c r="D12" s="35">
        <v>141</v>
      </c>
      <c r="E12" s="35">
        <v>107798</v>
      </c>
      <c r="F12" s="35"/>
      <c r="G12" s="35">
        <v>109</v>
      </c>
      <c r="H12" s="36">
        <v>51752</v>
      </c>
      <c r="I12" s="19"/>
      <c r="J12" s="32"/>
      <c r="K12" s="32"/>
      <c r="L12" s="1"/>
    </row>
    <row r="13" spans="2:12" x14ac:dyDescent="0.25">
      <c r="B13" s="33"/>
      <c r="C13" s="34"/>
      <c r="D13" s="30"/>
      <c r="E13" s="30"/>
      <c r="F13" s="30"/>
      <c r="G13" s="30"/>
      <c r="H13" s="31"/>
      <c r="I13" s="19"/>
      <c r="J13" s="32"/>
      <c r="K13" s="32"/>
      <c r="L13" s="8"/>
    </row>
    <row r="14" spans="2:12" x14ac:dyDescent="0.25">
      <c r="B14" s="28" t="s">
        <v>16</v>
      </c>
      <c r="C14" s="29" t="s">
        <v>17</v>
      </c>
      <c r="D14" s="40">
        <v>632</v>
      </c>
      <c r="E14" s="40">
        <v>796490</v>
      </c>
      <c r="F14" s="40"/>
      <c r="G14" s="40">
        <v>326</v>
      </c>
      <c r="H14" s="41">
        <v>231678</v>
      </c>
      <c r="I14" s="19"/>
      <c r="J14" s="32"/>
      <c r="K14" s="32"/>
      <c r="L14" s="8"/>
    </row>
    <row r="15" spans="2:12" x14ac:dyDescent="0.25">
      <c r="B15" s="28"/>
      <c r="C15" s="29"/>
      <c r="D15" s="40"/>
      <c r="E15" s="40"/>
      <c r="F15" s="40"/>
      <c r="G15" s="40"/>
      <c r="H15" s="41"/>
      <c r="I15" s="19"/>
      <c r="J15" s="32"/>
      <c r="K15" s="32"/>
      <c r="L15" s="8"/>
    </row>
    <row r="16" spans="2:12" x14ac:dyDescent="0.25">
      <c r="B16" s="42" t="s">
        <v>18</v>
      </c>
      <c r="C16" s="29" t="s">
        <v>19</v>
      </c>
      <c r="D16" s="40">
        <v>552</v>
      </c>
      <c r="E16" s="40">
        <v>904539</v>
      </c>
      <c r="F16" s="40"/>
      <c r="G16" s="40">
        <v>606</v>
      </c>
      <c r="H16" s="41">
        <v>381131</v>
      </c>
      <c r="I16" s="19"/>
      <c r="J16" s="32"/>
      <c r="K16" s="32"/>
      <c r="L16" s="8"/>
    </row>
    <row r="17" spans="2:12" x14ac:dyDescent="0.25">
      <c r="B17" s="28"/>
      <c r="C17" s="29"/>
      <c r="D17" s="30"/>
      <c r="E17" s="30"/>
      <c r="F17" s="30"/>
      <c r="G17" s="30"/>
      <c r="H17" s="31"/>
      <c r="I17" s="19"/>
      <c r="J17" s="32"/>
      <c r="K17" s="32"/>
      <c r="L17" s="8"/>
    </row>
    <row r="18" spans="2:12" x14ac:dyDescent="0.25">
      <c r="B18" s="28" t="s">
        <v>20</v>
      </c>
      <c r="C18" s="37" t="s">
        <v>12</v>
      </c>
      <c r="D18" s="38">
        <f>SUM(D19:D24)</f>
        <v>658</v>
      </c>
      <c r="E18" s="38">
        <f>SUM(E19:E24)</f>
        <v>798206</v>
      </c>
      <c r="F18" s="38"/>
      <c r="G18" s="38">
        <f>SUM(G19:G24)</f>
        <v>475</v>
      </c>
      <c r="H18" s="39">
        <f>SUM(H19:H24)</f>
        <v>370800</v>
      </c>
      <c r="I18" s="19"/>
      <c r="J18" s="32"/>
      <c r="K18" s="32"/>
      <c r="L18" s="1"/>
    </row>
    <row r="19" spans="2:12" x14ac:dyDescent="0.25">
      <c r="B19" s="33"/>
      <c r="C19" s="29" t="s">
        <v>21</v>
      </c>
      <c r="D19" s="30">
        <v>69</v>
      </c>
      <c r="E19" s="30">
        <v>46717</v>
      </c>
      <c r="F19" s="30"/>
      <c r="G19" s="30">
        <v>49</v>
      </c>
      <c r="H19" s="31">
        <v>21757</v>
      </c>
      <c r="I19" s="19"/>
      <c r="J19" s="32"/>
      <c r="K19" s="32"/>
      <c r="L19" s="1"/>
    </row>
    <row r="20" spans="2:12" x14ac:dyDescent="0.25">
      <c r="B20" s="33"/>
      <c r="C20" s="29" t="s">
        <v>22</v>
      </c>
      <c r="D20" s="30">
        <v>117</v>
      </c>
      <c r="E20" s="30">
        <v>270767</v>
      </c>
      <c r="F20" s="30"/>
      <c r="G20" s="30">
        <v>73</v>
      </c>
      <c r="H20" s="31">
        <v>131516</v>
      </c>
      <c r="I20" s="19"/>
      <c r="J20" s="32"/>
      <c r="K20" s="32"/>
      <c r="L20" s="1"/>
    </row>
    <row r="21" spans="2:12" x14ac:dyDescent="0.25">
      <c r="B21" s="33"/>
      <c r="C21" s="29" t="s">
        <v>23</v>
      </c>
      <c r="D21" s="30">
        <v>220</v>
      </c>
      <c r="E21" s="30">
        <v>186458</v>
      </c>
      <c r="F21" s="30"/>
      <c r="G21" s="30">
        <v>142</v>
      </c>
      <c r="H21" s="31">
        <v>69423</v>
      </c>
      <c r="I21" s="19"/>
      <c r="J21" s="32"/>
      <c r="K21" s="32"/>
      <c r="L21" s="1"/>
    </row>
    <row r="22" spans="2:12" x14ac:dyDescent="0.25">
      <c r="B22" s="33"/>
      <c r="C22" s="29" t="s">
        <v>24</v>
      </c>
      <c r="D22" s="30">
        <v>16</v>
      </c>
      <c r="E22" s="30">
        <v>21158</v>
      </c>
      <c r="F22" s="30"/>
      <c r="G22" s="30">
        <v>31</v>
      </c>
      <c r="H22" s="31">
        <v>17517</v>
      </c>
      <c r="I22" s="19"/>
      <c r="J22" s="32"/>
      <c r="K22" s="32"/>
      <c r="L22" s="1"/>
    </row>
    <row r="23" spans="2:12" x14ac:dyDescent="0.25">
      <c r="B23" s="33"/>
      <c r="C23" s="29" t="s">
        <v>25</v>
      </c>
      <c r="D23" s="30">
        <v>183</v>
      </c>
      <c r="E23" s="30">
        <v>185358</v>
      </c>
      <c r="F23" s="30"/>
      <c r="G23" s="30">
        <v>139</v>
      </c>
      <c r="H23" s="31">
        <v>83708</v>
      </c>
      <c r="I23" s="19"/>
      <c r="J23" s="32"/>
      <c r="K23" s="32"/>
      <c r="L23" s="1"/>
    </row>
    <row r="24" spans="2:12" x14ac:dyDescent="0.25">
      <c r="B24" s="33"/>
      <c r="C24" s="29" t="s">
        <v>26</v>
      </c>
      <c r="D24" s="30">
        <v>53</v>
      </c>
      <c r="E24" s="30">
        <v>87748</v>
      </c>
      <c r="F24" s="30"/>
      <c r="G24" s="30">
        <v>41</v>
      </c>
      <c r="H24" s="31">
        <v>46879</v>
      </c>
      <c r="I24" s="19"/>
      <c r="J24" s="32"/>
      <c r="K24" s="32"/>
      <c r="L24" s="1"/>
    </row>
    <row r="25" spans="2:12" x14ac:dyDescent="0.25">
      <c r="B25" s="33"/>
      <c r="C25" s="34"/>
      <c r="D25" s="35"/>
      <c r="E25" s="35"/>
      <c r="F25" s="35"/>
      <c r="G25" s="35"/>
      <c r="H25" s="36"/>
      <c r="I25" s="19"/>
      <c r="J25" s="32"/>
      <c r="K25" s="32"/>
      <c r="L25" s="1"/>
    </row>
    <row r="26" spans="2:12" x14ac:dyDescent="0.25">
      <c r="B26" s="42" t="s">
        <v>27</v>
      </c>
      <c r="C26" s="37" t="s">
        <v>12</v>
      </c>
      <c r="D26" s="43">
        <f>SUM(D27:D28)</f>
        <v>2752</v>
      </c>
      <c r="E26" s="38">
        <f>SUM(E27:E28)</f>
        <v>3317071</v>
      </c>
      <c r="F26" s="38"/>
      <c r="G26" s="38">
        <f>SUM(G27:G28)</f>
        <v>1895</v>
      </c>
      <c r="H26" s="39">
        <f>SUM(H27:H28)</f>
        <v>1212190</v>
      </c>
      <c r="I26" s="19"/>
      <c r="J26" s="32"/>
      <c r="K26" s="32"/>
      <c r="L26" s="1"/>
    </row>
    <row r="27" spans="2:12" x14ac:dyDescent="0.25">
      <c r="B27" s="33"/>
      <c r="C27" s="29" t="s">
        <v>28</v>
      </c>
      <c r="D27" s="30">
        <v>2099</v>
      </c>
      <c r="E27" s="30">
        <v>2651132</v>
      </c>
      <c r="F27" s="30"/>
      <c r="G27" s="44">
        <v>1516</v>
      </c>
      <c r="H27" s="31">
        <v>1053183</v>
      </c>
      <c r="I27" s="19"/>
      <c r="J27" s="32"/>
      <c r="K27" s="32"/>
      <c r="L27" s="1"/>
    </row>
    <row r="28" spans="2:12" x14ac:dyDescent="0.25">
      <c r="B28" s="33"/>
      <c r="C28" s="29" t="s">
        <v>15</v>
      </c>
      <c r="D28" s="30">
        <v>653</v>
      </c>
      <c r="E28" s="30">
        <v>665939</v>
      </c>
      <c r="F28" s="30"/>
      <c r="G28" s="44">
        <v>379</v>
      </c>
      <c r="H28" s="31">
        <v>159007</v>
      </c>
      <c r="I28" s="19"/>
      <c r="J28" s="32"/>
      <c r="K28" s="32"/>
      <c r="L28" s="1"/>
    </row>
    <row r="29" spans="2:12" x14ac:dyDescent="0.25">
      <c r="B29" s="33"/>
      <c r="C29" s="34"/>
      <c r="D29" s="30"/>
      <c r="E29" s="30"/>
      <c r="F29" s="30"/>
      <c r="G29" s="30"/>
      <c r="H29" s="31"/>
      <c r="I29" s="19"/>
      <c r="J29" s="32"/>
      <c r="K29" s="32"/>
      <c r="L29" s="1"/>
    </row>
    <row r="30" spans="2:12" x14ac:dyDescent="0.25">
      <c r="B30" s="28" t="s">
        <v>29</v>
      </c>
      <c r="C30" s="37" t="s">
        <v>12</v>
      </c>
      <c r="D30" s="38">
        <f>SUM(D31:D32)</f>
        <v>453</v>
      </c>
      <c r="E30" s="38">
        <f>SUM(E31:E32)</f>
        <v>573369</v>
      </c>
      <c r="F30" s="38"/>
      <c r="G30" s="38">
        <f>SUM(G31:G32)</f>
        <v>321</v>
      </c>
      <c r="H30" s="39">
        <f>SUM(H31:H32)</f>
        <v>242663</v>
      </c>
      <c r="I30" s="19"/>
      <c r="J30" s="32"/>
      <c r="K30" s="32"/>
      <c r="L30" s="1"/>
    </row>
    <row r="31" spans="2:12" x14ac:dyDescent="0.25">
      <c r="B31" s="33"/>
      <c r="C31" s="45" t="s">
        <v>17</v>
      </c>
      <c r="D31" s="30">
        <v>356</v>
      </c>
      <c r="E31" s="30">
        <v>474712</v>
      </c>
      <c r="F31" s="30"/>
      <c r="G31" s="30">
        <v>284</v>
      </c>
      <c r="H31" s="31">
        <v>225295</v>
      </c>
      <c r="I31" s="19"/>
      <c r="J31" s="32"/>
      <c r="K31" s="32"/>
      <c r="L31" s="1"/>
    </row>
    <row r="32" spans="2:12" x14ac:dyDescent="0.25">
      <c r="B32" s="33"/>
      <c r="C32" s="29" t="s">
        <v>30</v>
      </c>
      <c r="D32" s="30">
        <v>97</v>
      </c>
      <c r="E32" s="30">
        <v>98657</v>
      </c>
      <c r="F32" s="30"/>
      <c r="G32" s="30">
        <v>37</v>
      </c>
      <c r="H32" s="31">
        <v>17368</v>
      </c>
      <c r="I32" s="19"/>
      <c r="J32" s="32"/>
      <c r="K32" s="32"/>
      <c r="L32" s="1"/>
    </row>
    <row r="33" spans="2:12" x14ac:dyDescent="0.25">
      <c r="B33" s="33"/>
      <c r="C33" s="34"/>
      <c r="D33" s="35"/>
      <c r="E33" s="35"/>
      <c r="F33" s="35"/>
      <c r="G33" s="35"/>
      <c r="H33" s="36"/>
      <c r="I33" s="19"/>
      <c r="J33" s="32"/>
      <c r="K33" s="32"/>
      <c r="L33" s="1"/>
    </row>
    <row r="34" spans="2:12" x14ac:dyDescent="0.25">
      <c r="B34" s="28" t="s">
        <v>31</v>
      </c>
      <c r="C34" s="37" t="s">
        <v>12</v>
      </c>
      <c r="D34" s="38">
        <f>SUM(D35:D36)</f>
        <v>286</v>
      </c>
      <c r="E34" s="38">
        <f>SUM(E35:E36)</f>
        <v>415310</v>
      </c>
      <c r="F34" s="38"/>
      <c r="G34" s="38">
        <f>SUM(G35:G36)</f>
        <v>228</v>
      </c>
      <c r="H34" s="39">
        <f>SUM(H35:H36)</f>
        <v>207883</v>
      </c>
      <c r="I34" s="19"/>
      <c r="J34" s="32"/>
      <c r="K34" s="32"/>
      <c r="L34" s="1"/>
    </row>
    <row r="35" spans="2:12" x14ac:dyDescent="0.25">
      <c r="B35" s="33"/>
      <c r="C35" s="29" t="s">
        <v>17</v>
      </c>
      <c r="D35" s="30">
        <v>151</v>
      </c>
      <c r="E35" s="30">
        <v>279193</v>
      </c>
      <c r="F35" s="30"/>
      <c r="G35" s="30">
        <v>120</v>
      </c>
      <c r="H35" s="31">
        <v>129937</v>
      </c>
      <c r="I35" s="19"/>
      <c r="J35" s="32"/>
      <c r="K35" s="32"/>
      <c r="L35" s="1"/>
    </row>
    <row r="36" spans="2:12" x14ac:dyDescent="0.25">
      <c r="B36" s="33"/>
      <c r="C36" s="29" t="s">
        <v>25</v>
      </c>
      <c r="D36" s="30">
        <v>135</v>
      </c>
      <c r="E36" s="30">
        <v>136117</v>
      </c>
      <c r="F36" s="30"/>
      <c r="G36" s="30">
        <v>108</v>
      </c>
      <c r="H36" s="31">
        <v>77946</v>
      </c>
      <c r="I36" s="19"/>
      <c r="J36" s="32"/>
      <c r="K36" s="32"/>
      <c r="L36" s="1"/>
    </row>
    <row r="37" spans="2:12" x14ac:dyDescent="0.25">
      <c r="B37" s="33"/>
      <c r="C37" s="34"/>
      <c r="D37" s="30"/>
      <c r="E37" s="30"/>
      <c r="F37" s="30"/>
      <c r="G37" s="30"/>
      <c r="H37" s="31"/>
      <c r="I37" s="19"/>
      <c r="J37" s="32"/>
      <c r="K37" s="32"/>
      <c r="L37" s="1"/>
    </row>
    <row r="38" spans="2:12" x14ac:dyDescent="0.25">
      <c r="B38" s="28" t="s">
        <v>32</v>
      </c>
      <c r="C38" s="37" t="s">
        <v>12</v>
      </c>
      <c r="D38" s="38">
        <f>SUM(D39:D40)</f>
        <v>687</v>
      </c>
      <c r="E38" s="38">
        <f>SUM(E39:E40)</f>
        <v>537102</v>
      </c>
      <c r="F38" s="1"/>
      <c r="G38" s="38">
        <f>SUM(G39:G40)</f>
        <v>608</v>
      </c>
      <c r="H38" s="39">
        <f>SUM(H39:H40)</f>
        <v>288006</v>
      </c>
      <c r="I38" s="19"/>
      <c r="J38" s="32"/>
      <c r="K38" s="32"/>
      <c r="L38" s="1"/>
    </row>
    <row r="39" spans="2:12" x14ac:dyDescent="0.25">
      <c r="B39" s="33"/>
      <c r="C39" s="29" t="s">
        <v>23</v>
      </c>
      <c r="D39" s="30">
        <v>425</v>
      </c>
      <c r="E39" s="30">
        <v>332617</v>
      </c>
      <c r="F39" s="30"/>
      <c r="G39" s="30">
        <v>394</v>
      </c>
      <c r="H39" s="31">
        <v>182946</v>
      </c>
      <c r="I39" s="19"/>
      <c r="J39" s="32"/>
      <c r="K39" s="32"/>
      <c r="L39" s="1"/>
    </row>
    <row r="40" spans="2:12" x14ac:dyDescent="0.25">
      <c r="B40" s="33"/>
      <c r="C40" s="29" t="s">
        <v>24</v>
      </c>
      <c r="D40" s="30">
        <v>262</v>
      </c>
      <c r="E40" s="30">
        <v>204485</v>
      </c>
      <c r="F40" s="30"/>
      <c r="G40" s="30">
        <v>214</v>
      </c>
      <c r="H40" s="31">
        <v>105060</v>
      </c>
      <c r="I40" s="19"/>
      <c r="J40" s="32"/>
      <c r="K40" s="32"/>
      <c r="L40" s="1"/>
    </row>
    <row r="41" spans="2:12" x14ac:dyDescent="0.25">
      <c r="B41" s="33"/>
      <c r="C41" s="29"/>
      <c r="D41" s="30"/>
      <c r="E41" s="30"/>
      <c r="F41" s="30"/>
      <c r="G41" s="30"/>
      <c r="H41" s="31"/>
      <c r="I41" s="19"/>
      <c r="J41" s="32"/>
      <c r="K41" s="32"/>
      <c r="L41" s="1"/>
    </row>
    <row r="42" spans="2:12" x14ac:dyDescent="0.25">
      <c r="B42" s="28" t="s">
        <v>33</v>
      </c>
      <c r="C42" s="29" t="s">
        <v>34</v>
      </c>
      <c r="D42" s="40">
        <v>12</v>
      </c>
      <c r="E42" s="40">
        <v>27688</v>
      </c>
      <c r="F42" s="40"/>
      <c r="G42" s="40">
        <v>12</v>
      </c>
      <c r="H42" s="41">
        <v>21243</v>
      </c>
      <c r="I42" s="19"/>
      <c r="J42" s="32"/>
      <c r="K42" s="32"/>
      <c r="L42" s="1"/>
    </row>
    <row r="43" spans="2:12" x14ac:dyDescent="0.25">
      <c r="B43" s="9"/>
      <c r="C43" s="10"/>
      <c r="D43" s="46"/>
      <c r="E43" s="46"/>
      <c r="F43" s="46"/>
      <c r="G43" s="46"/>
      <c r="H43" s="47"/>
      <c r="I43" s="27"/>
      <c r="J43" s="1"/>
      <c r="K43" s="48"/>
      <c r="L43" s="1"/>
    </row>
    <row r="44" spans="2:12" x14ac:dyDescent="0.25">
      <c r="B44" s="28" t="s">
        <v>35</v>
      </c>
      <c r="C44" s="1"/>
      <c r="D44" s="38">
        <f>D38+D42+D34+D30+D18+D16+D14+D9+D7+D26</f>
        <v>9844</v>
      </c>
      <c r="E44" s="38">
        <f>E38+E42+E34+E30+E18+E16+E14+E9+E7+E26</f>
        <v>11574039</v>
      </c>
      <c r="F44" s="38"/>
      <c r="G44" s="38">
        <f>G38+G42+G34+G30+G18+G16+G14+G9+G7+G26</f>
        <v>7413</v>
      </c>
      <c r="H44" s="39">
        <f>H38+H42+H34+H30+H18+H16+H14+H9+H7+H26</f>
        <v>4774929</v>
      </c>
      <c r="I44" s="19"/>
      <c r="J44" s="1"/>
      <c r="K44" s="1"/>
      <c r="L44" s="1"/>
    </row>
    <row r="45" spans="2:12" x14ac:dyDescent="0.25">
      <c r="B45" s="49" t="s">
        <v>36</v>
      </c>
      <c r="C45" s="1"/>
      <c r="D45" s="38"/>
      <c r="E45" s="38">
        <f>E44*K45</f>
        <v>198966758.16042</v>
      </c>
      <c r="F45" s="38"/>
      <c r="G45" s="38"/>
      <c r="H45" s="39">
        <f>H44*K45</f>
        <v>82084753.954620004</v>
      </c>
      <c r="I45" s="19"/>
      <c r="J45" s="50" t="s">
        <v>72</v>
      </c>
      <c r="K45" s="51">
        <v>17.19078</v>
      </c>
      <c r="L45" s="1"/>
    </row>
    <row r="46" spans="2:12" x14ac:dyDescent="0.25">
      <c r="B46" s="24"/>
      <c r="C46" s="25"/>
      <c r="D46" s="52"/>
      <c r="E46" s="52"/>
      <c r="F46" s="52"/>
      <c r="G46" s="52"/>
      <c r="H46" s="53"/>
      <c r="I46" s="19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4" t="s">
        <v>40</v>
      </c>
      <c r="C48" s="1"/>
      <c r="D48" s="1"/>
      <c r="E48" s="1"/>
      <c r="F48" s="1"/>
      <c r="G48" s="1"/>
      <c r="H48" s="1"/>
      <c r="I48" s="1"/>
    </row>
    <row r="49" spans="2:9" x14ac:dyDescent="0.25">
      <c r="B49" s="6" t="str">
        <f>'[3]A RESERVAS 528'!$B$4</f>
        <v xml:space="preserve">     (al 30 de septiembre de 2004, montos expresados en U.F.)</v>
      </c>
      <c r="C49" s="1"/>
      <c r="D49" s="1"/>
      <c r="E49" s="1"/>
      <c r="F49" s="1"/>
      <c r="G49" s="1"/>
      <c r="H49" s="1"/>
      <c r="I49" s="1"/>
    </row>
    <row r="50" spans="2:9" x14ac:dyDescent="0.25">
      <c r="B50" s="9"/>
      <c r="C50" s="10"/>
      <c r="D50" s="10"/>
      <c r="E50" s="11"/>
      <c r="F50" s="27"/>
      <c r="G50" s="1"/>
      <c r="H50" s="1"/>
      <c r="I50" s="1"/>
    </row>
    <row r="51" spans="2:9" x14ac:dyDescent="0.25">
      <c r="B51" s="20"/>
      <c r="C51" s="1"/>
      <c r="D51" s="17" t="s">
        <v>41</v>
      </c>
      <c r="E51" s="54"/>
      <c r="F51" s="19"/>
      <c r="G51" s="1"/>
      <c r="H51" s="1"/>
      <c r="I51" s="1"/>
    </row>
    <row r="52" spans="2:9" x14ac:dyDescent="0.25">
      <c r="B52" s="12" t="s">
        <v>3</v>
      </c>
      <c r="C52" s="13" t="s">
        <v>4</v>
      </c>
      <c r="D52" s="136" t="s">
        <v>70</v>
      </c>
      <c r="E52" s="137"/>
      <c r="F52" s="19"/>
      <c r="G52" s="1"/>
      <c r="H52" s="1"/>
      <c r="I52" s="1"/>
    </row>
    <row r="53" spans="2:9" x14ac:dyDescent="0.25">
      <c r="B53" s="56"/>
      <c r="C53" s="57"/>
      <c r="D53" s="21" t="s">
        <v>43</v>
      </c>
      <c r="E53" s="23" t="s">
        <v>44</v>
      </c>
      <c r="F53" s="19"/>
      <c r="G53" s="1"/>
      <c r="H53" s="1"/>
      <c r="I53" s="1"/>
    </row>
    <row r="54" spans="2:9" x14ac:dyDescent="0.25">
      <c r="B54" s="24"/>
      <c r="C54" s="25"/>
      <c r="D54" s="25"/>
      <c r="E54" s="26"/>
      <c r="F54" s="27"/>
      <c r="G54" s="1"/>
      <c r="H54" s="1"/>
      <c r="I54" s="1"/>
    </row>
    <row r="55" spans="2:9" x14ac:dyDescent="0.25">
      <c r="B55" s="28" t="s">
        <v>9</v>
      </c>
      <c r="C55" s="29" t="s">
        <v>10</v>
      </c>
      <c r="D55" s="35">
        <v>1</v>
      </c>
      <c r="E55" s="36">
        <v>386</v>
      </c>
      <c r="F55" s="19"/>
      <c r="G55" s="1"/>
      <c r="H55" s="1"/>
      <c r="I55" s="1"/>
    </row>
    <row r="56" spans="2:9" x14ac:dyDescent="0.25">
      <c r="B56" s="33"/>
      <c r="C56" s="1"/>
      <c r="D56" s="30"/>
      <c r="E56" s="31"/>
      <c r="F56" s="19"/>
      <c r="G56" s="1"/>
      <c r="H56" s="1"/>
      <c r="I56" s="1"/>
    </row>
    <row r="57" spans="2:9" x14ac:dyDescent="0.25">
      <c r="B57" s="42" t="s">
        <v>27</v>
      </c>
      <c r="C57" s="29" t="s">
        <v>28</v>
      </c>
      <c r="D57" s="30">
        <v>17</v>
      </c>
      <c r="E57" s="31">
        <v>1844</v>
      </c>
      <c r="F57" s="19"/>
      <c r="G57" s="1"/>
      <c r="H57" s="1"/>
      <c r="I57" s="1"/>
    </row>
    <row r="58" spans="2:9" x14ac:dyDescent="0.25">
      <c r="B58" s="28"/>
      <c r="C58" s="29"/>
      <c r="D58" s="58"/>
      <c r="E58" s="59"/>
      <c r="F58" s="19"/>
      <c r="G58" s="1"/>
      <c r="H58" s="1"/>
      <c r="I58" s="1"/>
    </row>
    <row r="59" spans="2:9" x14ac:dyDescent="0.25">
      <c r="B59" s="122" t="s">
        <v>29</v>
      </c>
      <c r="C59" s="104" t="s">
        <v>15</v>
      </c>
      <c r="D59" s="58">
        <v>4</v>
      </c>
      <c r="E59" s="59">
        <v>300</v>
      </c>
      <c r="F59" s="19"/>
      <c r="G59" s="1"/>
      <c r="H59" s="1"/>
      <c r="I59" s="1"/>
    </row>
    <row r="60" spans="2:9" x14ac:dyDescent="0.25">
      <c r="B60" s="28"/>
      <c r="C60" s="29"/>
      <c r="D60" s="58"/>
      <c r="E60" s="59"/>
      <c r="F60" s="19"/>
      <c r="G60" s="1"/>
      <c r="H60" s="1"/>
      <c r="I60" s="1"/>
    </row>
    <row r="61" spans="2:9" x14ac:dyDescent="0.25">
      <c r="B61" s="60" t="s">
        <v>33</v>
      </c>
      <c r="C61" s="61" t="s">
        <v>21</v>
      </c>
      <c r="D61" s="62">
        <v>3</v>
      </c>
      <c r="E61" s="63">
        <v>803</v>
      </c>
      <c r="F61" s="19"/>
      <c r="G61" s="1"/>
      <c r="H61" s="1"/>
      <c r="I61" s="1"/>
    </row>
    <row r="62" spans="2:9" x14ac:dyDescent="0.25">
      <c r="B62" s="64"/>
      <c r="C62" s="65"/>
      <c r="D62" s="66"/>
      <c r="E62" s="67"/>
      <c r="F62" s="27"/>
      <c r="G62" s="1"/>
      <c r="H62" s="1"/>
      <c r="I62" s="1"/>
    </row>
    <row r="63" spans="2:9" x14ac:dyDescent="0.25">
      <c r="B63" s="28" t="s">
        <v>35</v>
      </c>
      <c r="C63" s="1"/>
      <c r="D63" s="38">
        <f>SUM(D55:D61)</f>
        <v>25</v>
      </c>
      <c r="E63" s="39">
        <f>SUM(E55:E61)</f>
        <v>3333</v>
      </c>
      <c r="F63" s="19"/>
      <c r="G63" s="1"/>
      <c r="H63" s="1"/>
      <c r="I63" s="1"/>
    </row>
    <row r="64" spans="2:9" x14ac:dyDescent="0.25">
      <c r="B64" s="49" t="s">
        <v>36</v>
      </c>
      <c r="C64" s="1"/>
      <c r="D64" s="38"/>
      <c r="E64" s="39">
        <f>E63*H64</f>
        <v>57296.869740000002</v>
      </c>
      <c r="F64" s="19"/>
      <c r="G64" s="50" t="s">
        <v>72</v>
      </c>
      <c r="H64" s="68">
        <v>17.19078</v>
      </c>
      <c r="I64" s="1"/>
    </row>
    <row r="65" spans="2:16" x14ac:dyDescent="0.25">
      <c r="B65" s="24"/>
      <c r="C65" s="25"/>
      <c r="D65" s="69"/>
      <c r="E65" s="70"/>
      <c r="F65" s="27"/>
      <c r="G65" s="1"/>
      <c r="H65" s="1"/>
      <c r="I65" s="1"/>
    </row>
    <row r="68" spans="2:16" x14ac:dyDescent="0.25">
      <c r="B68" s="74" t="s">
        <v>47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2:16" x14ac:dyDescent="0.25">
      <c r="B69" s="75" t="str">
        <f>'[3]A RESERVAS 528'!$B$4</f>
        <v xml:space="preserve">     (al 30 de septiembre de 2004, montos expresados en U.F.)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2:16" x14ac:dyDescent="0.25">
      <c r="B70" s="76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8"/>
      <c r="N70" s="79"/>
      <c r="O70" s="72"/>
      <c r="P70" s="72"/>
    </row>
    <row r="71" spans="2:16" x14ac:dyDescent="0.25">
      <c r="B71" s="80"/>
      <c r="C71" s="72"/>
      <c r="D71" s="81"/>
      <c r="E71" s="82"/>
      <c r="F71" s="82" t="s">
        <v>48</v>
      </c>
      <c r="G71" s="82"/>
      <c r="H71" s="81"/>
      <c r="I71" s="81"/>
      <c r="J71" s="72"/>
      <c r="K71" s="83" t="s">
        <v>49</v>
      </c>
      <c r="L71" s="83"/>
      <c r="M71" s="84"/>
      <c r="N71" s="85"/>
      <c r="O71" s="72"/>
      <c r="P71" s="72"/>
    </row>
    <row r="72" spans="2:16" x14ac:dyDescent="0.25">
      <c r="B72" s="86" t="s">
        <v>3</v>
      </c>
      <c r="C72" s="87" t="s">
        <v>4</v>
      </c>
      <c r="D72" s="88"/>
      <c r="E72" s="89" t="s">
        <v>50</v>
      </c>
      <c r="F72" s="88"/>
      <c r="G72" s="90"/>
      <c r="H72" s="91" t="s">
        <v>51</v>
      </c>
      <c r="I72" s="88"/>
      <c r="J72" s="72"/>
      <c r="K72" s="72"/>
      <c r="L72" s="72"/>
      <c r="M72" s="92"/>
      <c r="N72" s="85"/>
      <c r="O72" s="72"/>
      <c r="P72" s="72"/>
    </row>
    <row r="73" spans="2:16" x14ac:dyDescent="0.25">
      <c r="B73" s="80"/>
      <c r="C73" s="72"/>
      <c r="D73" s="74" t="s">
        <v>52</v>
      </c>
      <c r="E73" s="93"/>
      <c r="F73" s="94" t="s">
        <v>53</v>
      </c>
      <c r="G73" s="95"/>
      <c r="H73" s="74" t="s">
        <v>54</v>
      </c>
      <c r="I73" s="96"/>
      <c r="J73" s="96"/>
      <c r="K73" s="74" t="s">
        <v>52</v>
      </c>
      <c r="L73" s="93"/>
      <c r="M73" s="97" t="s">
        <v>53</v>
      </c>
      <c r="N73" s="85"/>
      <c r="O73" s="72"/>
      <c r="P73" s="72"/>
    </row>
    <row r="74" spans="2:16" x14ac:dyDescent="0.25">
      <c r="B74" s="80"/>
      <c r="C74" s="72"/>
      <c r="D74" s="98" t="s">
        <v>7</v>
      </c>
      <c r="E74" s="94" t="s">
        <v>8</v>
      </c>
      <c r="F74" s="98" t="s">
        <v>8</v>
      </c>
      <c r="G74" s="98"/>
      <c r="H74" s="94" t="s">
        <v>7</v>
      </c>
      <c r="I74" s="94" t="s">
        <v>55</v>
      </c>
      <c r="J74" s="94"/>
      <c r="K74" s="98" t="s">
        <v>7</v>
      </c>
      <c r="L74" s="98" t="s">
        <v>56</v>
      </c>
      <c r="M74" s="99" t="s">
        <v>8</v>
      </c>
      <c r="N74" s="85"/>
      <c r="O74" s="72"/>
      <c r="P74" s="72"/>
    </row>
    <row r="75" spans="2:16" x14ac:dyDescent="0.25">
      <c r="B75" s="10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79"/>
      <c r="O75" s="72"/>
      <c r="P75" s="72"/>
    </row>
    <row r="76" spans="2:16" x14ac:dyDescent="0.25">
      <c r="B76" s="103" t="s">
        <v>57</v>
      </c>
      <c r="C76" s="104" t="s">
        <v>14</v>
      </c>
      <c r="D76" s="105">
        <v>2795</v>
      </c>
      <c r="E76" s="105">
        <v>1799802</v>
      </c>
      <c r="F76" s="105">
        <v>88133</v>
      </c>
      <c r="G76" s="105"/>
      <c r="H76" s="105">
        <v>0</v>
      </c>
      <c r="I76" s="105">
        <v>0</v>
      </c>
      <c r="J76" s="105"/>
      <c r="K76" s="105">
        <v>1488</v>
      </c>
      <c r="L76" s="105">
        <v>225383</v>
      </c>
      <c r="M76" s="106">
        <v>61804</v>
      </c>
      <c r="N76" s="72"/>
      <c r="O76" s="72"/>
      <c r="P76" s="72"/>
    </row>
    <row r="77" spans="2:16" x14ac:dyDescent="0.25">
      <c r="B77" s="107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9"/>
      <c r="N77" s="79"/>
      <c r="O77" s="72"/>
      <c r="P77" s="72"/>
    </row>
    <row r="78" spans="2:16" x14ac:dyDescent="0.25">
      <c r="B78" s="103" t="s">
        <v>58</v>
      </c>
      <c r="C78" s="110" t="s">
        <v>12</v>
      </c>
      <c r="D78" s="111">
        <f>SUM(D79:D81)</f>
        <v>2</v>
      </c>
      <c r="E78" s="111">
        <f>SUM(E79:E81)</f>
        <v>6</v>
      </c>
      <c r="F78" s="111">
        <f>SUM(F79:F81)</f>
        <v>0</v>
      </c>
      <c r="G78" s="111"/>
      <c r="H78" s="111">
        <f>SUM(H79:H81)</f>
        <v>5</v>
      </c>
      <c r="I78" s="111">
        <f>SUM(I79:I81)</f>
        <v>913</v>
      </c>
      <c r="J78" s="111"/>
      <c r="K78" s="111">
        <f>SUM(K79:K81)</f>
        <v>13</v>
      </c>
      <c r="L78" s="111">
        <f>SUM(L79:L81)</f>
        <v>866</v>
      </c>
      <c r="M78" s="112">
        <f>SUM(M79:M81)</f>
        <v>0</v>
      </c>
      <c r="N78" s="72"/>
      <c r="O78" s="72"/>
      <c r="P78" s="72"/>
    </row>
    <row r="79" spans="2:16" x14ac:dyDescent="0.25">
      <c r="B79" s="113"/>
      <c r="C79" s="104" t="s">
        <v>30</v>
      </c>
      <c r="D79" s="114">
        <v>0</v>
      </c>
      <c r="E79" s="114">
        <v>0</v>
      </c>
      <c r="F79" s="114">
        <v>0</v>
      </c>
      <c r="G79" s="114"/>
      <c r="H79" s="114">
        <v>1</v>
      </c>
      <c r="I79" s="114">
        <v>69</v>
      </c>
      <c r="J79" s="114"/>
      <c r="K79" s="114">
        <v>1</v>
      </c>
      <c r="L79" s="114">
        <v>229</v>
      </c>
      <c r="M79" s="115">
        <v>0</v>
      </c>
      <c r="N79" s="72"/>
      <c r="O79" s="72"/>
      <c r="P79" s="72"/>
    </row>
    <row r="80" spans="2:16" x14ac:dyDescent="0.25">
      <c r="B80" s="113"/>
      <c r="C80" s="104" t="s">
        <v>24</v>
      </c>
      <c r="D80" s="114">
        <v>2</v>
      </c>
      <c r="E80" s="114">
        <v>6</v>
      </c>
      <c r="F80" s="114">
        <v>0</v>
      </c>
      <c r="G80" s="114"/>
      <c r="H80" s="114">
        <v>3</v>
      </c>
      <c r="I80" s="114">
        <v>819</v>
      </c>
      <c r="J80" s="114"/>
      <c r="K80" s="114">
        <v>3</v>
      </c>
      <c r="L80" s="114">
        <v>158</v>
      </c>
      <c r="M80" s="115">
        <v>0</v>
      </c>
      <c r="N80" s="72"/>
      <c r="O80" s="72"/>
      <c r="P80" s="72"/>
    </row>
    <row r="81" spans="2:16" x14ac:dyDescent="0.25">
      <c r="B81" s="113"/>
      <c r="C81" s="116" t="s">
        <v>34</v>
      </c>
      <c r="D81" s="114">
        <v>0</v>
      </c>
      <c r="E81" s="114">
        <v>0</v>
      </c>
      <c r="F81" s="114">
        <v>0</v>
      </c>
      <c r="G81" s="114"/>
      <c r="H81" s="114">
        <v>1</v>
      </c>
      <c r="I81" s="114">
        <v>25</v>
      </c>
      <c r="J81" s="114"/>
      <c r="K81" s="114">
        <v>9</v>
      </c>
      <c r="L81" s="114">
        <v>479</v>
      </c>
      <c r="M81" s="115">
        <v>0</v>
      </c>
      <c r="N81" s="72"/>
      <c r="O81" s="72"/>
      <c r="P81" s="72"/>
    </row>
    <row r="82" spans="2:16" x14ac:dyDescent="0.25">
      <c r="B82" s="113"/>
      <c r="C82" s="116"/>
      <c r="D82" s="114"/>
      <c r="E82" s="114"/>
      <c r="F82" s="114"/>
      <c r="G82" s="114"/>
      <c r="H82" s="114"/>
      <c r="I82" s="114"/>
      <c r="J82" s="114"/>
      <c r="K82" s="114"/>
      <c r="L82" s="114"/>
      <c r="M82" s="115"/>
      <c r="N82" s="72"/>
      <c r="O82" s="72"/>
      <c r="P82" s="72"/>
    </row>
    <row r="83" spans="2:16" x14ac:dyDescent="0.25">
      <c r="B83" s="103" t="s">
        <v>11</v>
      </c>
      <c r="C83" s="110" t="s">
        <v>59</v>
      </c>
      <c r="D83" s="111">
        <f>SUM(D84:D87)</f>
        <v>131</v>
      </c>
      <c r="E83" s="111">
        <f>SUM(E84:E87)</f>
        <v>37925</v>
      </c>
      <c r="F83" s="111">
        <f>SUM(F84:F87)</f>
        <v>0</v>
      </c>
      <c r="G83" s="111"/>
      <c r="H83" s="111">
        <f>SUM(H84:H87)</f>
        <v>3</v>
      </c>
      <c r="I83" s="111">
        <f>SUM(I84:I87)</f>
        <v>113</v>
      </c>
      <c r="J83" s="111"/>
      <c r="K83" s="111">
        <f>SUM(K84:K87)</f>
        <v>23</v>
      </c>
      <c r="L83" s="111">
        <f>SUM(L84:L87)</f>
        <v>7593</v>
      </c>
      <c r="M83" s="112">
        <f>SUM(M84:M87)</f>
        <v>0</v>
      </c>
      <c r="N83" s="72"/>
      <c r="O83" s="72"/>
      <c r="P83" s="72"/>
    </row>
    <row r="84" spans="2:16" x14ac:dyDescent="0.25">
      <c r="B84" s="113"/>
      <c r="C84" s="104" t="s">
        <v>60</v>
      </c>
      <c r="D84" s="114">
        <v>1</v>
      </c>
      <c r="E84" s="117">
        <v>0</v>
      </c>
      <c r="F84" s="114">
        <v>0</v>
      </c>
      <c r="G84" s="114"/>
      <c r="H84" s="114">
        <v>0</v>
      </c>
      <c r="I84" s="114">
        <v>0</v>
      </c>
      <c r="J84" s="114"/>
      <c r="K84" s="114">
        <v>0</v>
      </c>
      <c r="L84" s="114">
        <v>0</v>
      </c>
      <c r="M84" s="115">
        <v>0</v>
      </c>
      <c r="N84" s="72"/>
      <c r="O84" s="72"/>
      <c r="P84" s="72"/>
    </row>
    <row r="85" spans="2:16" x14ac:dyDescent="0.25">
      <c r="B85" s="113"/>
      <c r="C85" s="104" t="s">
        <v>61</v>
      </c>
      <c r="D85" s="114">
        <v>4</v>
      </c>
      <c r="E85" s="114">
        <v>0</v>
      </c>
      <c r="F85" s="114">
        <v>0</v>
      </c>
      <c r="G85" s="114"/>
      <c r="H85" s="114">
        <v>0</v>
      </c>
      <c r="I85" s="114">
        <v>0</v>
      </c>
      <c r="J85" s="114"/>
      <c r="K85" s="114">
        <v>1</v>
      </c>
      <c r="L85" s="114">
        <v>712</v>
      </c>
      <c r="M85" s="115">
        <v>0</v>
      </c>
      <c r="N85" s="72"/>
      <c r="O85" s="72"/>
      <c r="P85" s="72"/>
    </row>
    <row r="86" spans="2:16" x14ac:dyDescent="0.25">
      <c r="B86" s="113"/>
      <c r="C86" s="104" t="s">
        <v>22</v>
      </c>
      <c r="D86" s="114">
        <v>49</v>
      </c>
      <c r="E86" s="114">
        <v>5975</v>
      </c>
      <c r="F86" s="114">
        <v>0</v>
      </c>
      <c r="G86" s="114"/>
      <c r="H86" s="114">
        <v>0</v>
      </c>
      <c r="I86" s="114">
        <v>0</v>
      </c>
      <c r="J86" s="114"/>
      <c r="K86" s="114">
        <v>5</v>
      </c>
      <c r="L86" s="114">
        <v>3402</v>
      </c>
      <c r="M86" s="115">
        <v>0</v>
      </c>
      <c r="N86" s="72"/>
      <c r="O86" s="72"/>
      <c r="P86" s="72"/>
    </row>
    <row r="87" spans="2:16" x14ac:dyDescent="0.25">
      <c r="B87" s="113"/>
      <c r="C87" s="104" t="s">
        <v>28</v>
      </c>
      <c r="D87" s="114">
        <f>32+45</f>
        <v>77</v>
      </c>
      <c r="E87" s="114">
        <f>3182+28768</f>
        <v>31950</v>
      </c>
      <c r="F87" s="114">
        <v>0</v>
      </c>
      <c r="G87" s="114"/>
      <c r="H87" s="114">
        <f>1+2</f>
        <v>3</v>
      </c>
      <c r="I87" s="114">
        <v>113</v>
      </c>
      <c r="J87" s="114"/>
      <c r="K87" s="114">
        <f>3+14</f>
        <v>17</v>
      </c>
      <c r="L87" s="114">
        <f>614+2865</f>
        <v>3479</v>
      </c>
      <c r="M87" s="115">
        <v>0</v>
      </c>
      <c r="N87" s="72"/>
      <c r="O87" s="72"/>
      <c r="P87" s="72"/>
    </row>
    <row r="88" spans="2:16" x14ac:dyDescent="0.25">
      <c r="B88" s="113"/>
      <c r="C88" s="104"/>
      <c r="D88" s="114"/>
      <c r="E88" s="114"/>
      <c r="F88" s="114"/>
      <c r="G88" s="114"/>
      <c r="H88" s="114"/>
      <c r="I88" s="114"/>
      <c r="J88" s="114"/>
      <c r="K88" s="114"/>
      <c r="L88" s="114"/>
      <c r="M88" s="115"/>
      <c r="N88" s="72"/>
      <c r="O88" s="72"/>
      <c r="P88" s="72"/>
    </row>
    <row r="89" spans="2:16" x14ac:dyDescent="0.25">
      <c r="B89" s="103" t="s">
        <v>16</v>
      </c>
      <c r="C89" s="110" t="s">
        <v>12</v>
      </c>
      <c r="D89" s="111">
        <f>SUM(D90:D91)</f>
        <v>3740</v>
      </c>
      <c r="E89" s="111">
        <f>SUM(E90:E91)</f>
        <v>3010119</v>
      </c>
      <c r="F89" s="111">
        <f>SUM(F90:F91)</f>
        <v>82226</v>
      </c>
      <c r="G89" s="111"/>
      <c r="H89" s="111">
        <f>SUM(H90:H91)</f>
        <v>36</v>
      </c>
      <c r="I89" s="111">
        <f>SUM(I90:I91)</f>
        <v>16065</v>
      </c>
      <c r="J89" s="111"/>
      <c r="K89" s="111">
        <f>SUM(K90:K91)</f>
        <v>98</v>
      </c>
      <c r="L89" s="111">
        <f>SUM(L90:L91)</f>
        <v>30007</v>
      </c>
      <c r="M89" s="112">
        <f>SUM(M90:M91)</f>
        <v>48861</v>
      </c>
      <c r="N89" s="72"/>
      <c r="O89" s="72"/>
      <c r="P89" s="72"/>
    </row>
    <row r="90" spans="2:16" x14ac:dyDescent="0.25">
      <c r="B90" s="113"/>
      <c r="C90" s="104" t="s">
        <v>17</v>
      </c>
      <c r="D90" s="114">
        <v>3643</v>
      </c>
      <c r="E90" s="114">
        <v>2937831</v>
      </c>
      <c r="F90" s="114">
        <v>82226</v>
      </c>
      <c r="G90" s="114"/>
      <c r="H90" s="114">
        <v>33</v>
      </c>
      <c r="I90" s="114">
        <v>14186</v>
      </c>
      <c r="J90" s="114"/>
      <c r="K90" s="114">
        <v>98</v>
      </c>
      <c r="L90" s="114">
        <v>30007</v>
      </c>
      <c r="M90" s="115">
        <v>48861</v>
      </c>
      <c r="N90" s="72"/>
      <c r="O90" s="72"/>
      <c r="P90" s="72"/>
    </row>
    <row r="91" spans="2:16" x14ac:dyDescent="0.25">
      <c r="B91" s="113"/>
      <c r="C91" s="118" t="s">
        <v>30</v>
      </c>
      <c r="D91" s="119">
        <v>97</v>
      </c>
      <c r="E91" s="119">
        <v>72288</v>
      </c>
      <c r="F91" s="119">
        <v>0</v>
      </c>
      <c r="G91" s="119"/>
      <c r="H91" s="119">
        <v>3</v>
      </c>
      <c r="I91" s="119">
        <v>1879</v>
      </c>
      <c r="J91" s="119"/>
      <c r="K91" s="119">
        <v>0</v>
      </c>
      <c r="L91" s="119">
        <v>0</v>
      </c>
      <c r="M91" s="120">
        <v>0</v>
      </c>
      <c r="N91" s="72"/>
      <c r="O91" s="72"/>
      <c r="P91" s="72"/>
    </row>
    <row r="92" spans="2:16" x14ac:dyDescent="0.25">
      <c r="B92" s="113"/>
      <c r="C92" s="118"/>
      <c r="D92" s="119"/>
      <c r="E92" s="119"/>
      <c r="F92" s="119"/>
      <c r="G92" s="119"/>
      <c r="H92" s="119"/>
      <c r="I92" s="119"/>
      <c r="J92" s="119"/>
      <c r="K92" s="119"/>
      <c r="L92" s="119"/>
      <c r="M92" s="120"/>
      <c r="N92" s="72"/>
      <c r="O92" s="72"/>
      <c r="P92" s="72"/>
    </row>
    <row r="93" spans="2:16" x14ac:dyDescent="0.25">
      <c r="B93" s="103" t="s">
        <v>27</v>
      </c>
      <c r="C93" s="110" t="s">
        <v>12</v>
      </c>
      <c r="D93" s="111">
        <f>SUM(D94:D99)</f>
        <v>7378</v>
      </c>
      <c r="E93" s="111">
        <f>SUM(E94:E99)</f>
        <v>5634112</v>
      </c>
      <c r="F93" s="111">
        <f>SUM(F94:F99)</f>
        <v>62024</v>
      </c>
      <c r="G93" s="111"/>
      <c r="H93" s="111">
        <f>SUM(H94:H99)</f>
        <v>139</v>
      </c>
      <c r="I93" s="111">
        <f>SUM(I94:I99)</f>
        <v>27808</v>
      </c>
      <c r="J93" s="111"/>
      <c r="K93" s="111">
        <f>SUM(K94:K99)</f>
        <v>1013</v>
      </c>
      <c r="L93" s="111">
        <f>SUM(L94:L99)</f>
        <v>184579</v>
      </c>
      <c r="M93" s="112">
        <f>SUM(M94:M99)</f>
        <v>67599</v>
      </c>
      <c r="N93" s="72"/>
      <c r="O93" s="72"/>
      <c r="P93" s="72"/>
    </row>
    <row r="94" spans="2:16" x14ac:dyDescent="0.25">
      <c r="B94" s="113"/>
      <c r="C94" s="104" t="s">
        <v>60</v>
      </c>
      <c r="D94" s="114">
        <v>1</v>
      </c>
      <c r="E94" s="119">
        <v>465</v>
      </c>
      <c r="F94" s="119">
        <v>0</v>
      </c>
      <c r="G94" s="119"/>
      <c r="H94" s="119">
        <v>0</v>
      </c>
      <c r="I94" s="119">
        <v>0</v>
      </c>
      <c r="J94" s="119"/>
      <c r="K94" s="119">
        <v>0</v>
      </c>
      <c r="L94" s="119">
        <v>0</v>
      </c>
      <c r="M94" s="115">
        <v>0</v>
      </c>
      <c r="N94" s="72"/>
      <c r="O94" s="72"/>
      <c r="P94" s="72"/>
    </row>
    <row r="95" spans="2:16" x14ac:dyDescent="0.25">
      <c r="B95" s="113"/>
      <c r="C95" s="116" t="s">
        <v>61</v>
      </c>
      <c r="D95" s="114">
        <v>1</v>
      </c>
      <c r="E95" s="114">
        <v>798</v>
      </c>
      <c r="F95" s="114">
        <v>0</v>
      </c>
      <c r="G95" s="114"/>
      <c r="H95" s="114">
        <v>0</v>
      </c>
      <c r="I95" s="114">
        <v>0</v>
      </c>
      <c r="J95" s="114"/>
      <c r="K95" s="114">
        <v>0</v>
      </c>
      <c r="L95" s="114">
        <v>0</v>
      </c>
      <c r="M95" s="115">
        <v>0</v>
      </c>
      <c r="N95" s="72"/>
      <c r="O95" s="72"/>
      <c r="P95" s="72"/>
    </row>
    <row r="96" spans="2:16" x14ac:dyDescent="0.25">
      <c r="B96" s="113"/>
      <c r="C96" s="104" t="s">
        <v>30</v>
      </c>
      <c r="D96" s="114">
        <f>34+164</f>
        <v>198</v>
      </c>
      <c r="E96" s="114">
        <f>34791+129434</f>
        <v>164225</v>
      </c>
      <c r="F96" s="114">
        <v>0</v>
      </c>
      <c r="G96" s="114"/>
      <c r="H96" s="114">
        <v>1</v>
      </c>
      <c r="I96" s="114">
        <v>57</v>
      </c>
      <c r="J96" s="114"/>
      <c r="K96" s="114">
        <v>12</v>
      </c>
      <c r="L96" s="114">
        <v>7635</v>
      </c>
      <c r="M96" s="115">
        <v>2167</v>
      </c>
      <c r="N96" s="72"/>
      <c r="O96" s="72"/>
      <c r="P96" s="72"/>
    </row>
    <row r="97" spans="2:16" x14ac:dyDescent="0.25">
      <c r="B97" s="113"/>
      <c r="C97" s="104" t="s">
        <v>24</v>
      </c>
      <c r="D97" s="114">
        <v>286</v>
      </c>
      <c r="E97" s="114">
        <v>76755</v>
      </c>
      <c r="F97" s="114">
        <v>6167</v>
      </c>
      <c r="G97" s="114"/>
      <c r="H97" s="114">
        <v>0</v>
      </c>
      <c r="I97" s="114">
        <v>0</v>
      </c>
      <c r="J97" s="114"/>
      <c r="K97" s="114">
        <v>56</v>
      </c>
      <c r="L97" s="114">
        <v>5889</v>
      </c>
      <c r="M97" s="115">
        <v>6154</v>
      </c>
      <c r="N97" s="72"/>
      <c r="O97" s="72"/>
      <c r="P97" s="72"/>
    </row>
    <row r="98" spans="2:16" x14ac:dyDescent="0.25">
      <c r="B98" s="113"/>
      <c r="C98" s="116" t="s">
        <v>14</v>
      </c>
      <c r="D98" s="114">
        <v>4525</v>
      </c>
      <c r="E98" s="119">
        <v>3461168</v>
      </c>
      <c r="F98" s="119">
        <v>0</v>
      </c>
      <c r="G98" s="119"/>
      <c r="H98" s="119">
        <v>126</v>
      </c>
      <c r="I98" s="119">
        <v>24480</v>
      </c>
      <c r="J98" s="119"/>
      <c r="K98" s="119">
        <v>316</v>
      </c>
      <c r="L98" s="119">
        <v>58020</v>
      </c>
      <c r="M98" s="115">
        <v>0</v>
      </c>
      <c r="N98" s="72"/>
      <c r="O98" s="72"/>
      <c r="P98" s="72"/>
    </row>
    <row r="99" spans="2:16" x14ac:dyDescent="0.25">
      <c r="B99" s="113"/>
      <c r="C99" s="104" t="s">
        <v>28</v>
      </c>
      <c r="D99" s="114">
        <f>2+2365</f>
        <v>2367</v>
      </c>
      <c r="E99" s="119">
        <f>636+1930065</f>
        <v>1930701</v>
      </c>
      <c r="F99" s="119">
        <v>55857</v>
      </c>
      <c r="G99" s="119"/>
      <c r="H99" s="119">
        <v>12</v>
      </c>
      <c r="I99" s="119">
        <v>3271</v>
      </c>
      <c r="J99" s="119"/>
      <c r="K99" s="119">
        <f>18+611</f>
        <v>629</v>
      </c>
      <c r="L99" s="119">
        <f>111709+1326</f>
        <v>113035</v>
      </c>
      <c r="M99" s="115">
        <v>59278</v>
      </c>
      <c r="N99" s="72"/>
      <c r="O99" s="72"/>
      <c r="P99" s="72"/>
    </row>
    <row r="100" spans="2:16" x14ac:dyDescent="0.25">
      <c r="B100" s="122"/>
      <c r="C100" s="104"/>
      <c r="D100" s="105"/>
      <c r="E100" s="105"/>
      <c r="F100" s="105"/>
      <c r="G100" s="105"/>
      <c r="H100" s="105"/>
      <c r="I100" s="105"/>
      <c r="J100" s="105"/>
      <c r="K100" s="105"/>
      <c r="L100" s="105"/>
      <c r="M100" s="106"/>
      <c r="N100" s="72"/>
      <c r="O100" s="72"/>
      <c r="P100" s="72"/>
    </row>
    <row r="101" spans="2:16" x14ac:dyDescent="0.25">
      <c r="B101" s="103" t="s">
        <v>64</v>
      </c>
      <c r="C101" s="104" t="s">
        <v>19</v>
      </c>
      <c r="D101" s="105">
        <f>7+149</f>
        <v>156</v>
      </c>
      <c r="E101" s="105">
        <f>8560+170529</f>
        <v>179089</v>
      </c>
      <c r="F101" s="105">
        <v>0</v>
      </c>
      <c r="G101" s="105"/>
      <c r="H101" s="105">
        <f>6+5</f>
        <v>11</v>
      </c>
      <c r="I101" s="105">
        <v>41</v>
      </c>
      <c r="J101" s="105"/>
      <c r="K101" s="123">
        <f>1+1</f>
        <v>2</v>
      </c>
      <c r="L101" s="105">
        <f>230+246</f>
        <v>476</v>
      </c>
      <c r="M101" s="106">
        <v>0</v>
      </c>
      <c r="N101" s="72"/>
      <c r="O101" s="72"/>
      <c r="P101" s="72"/>
    </row>
    <row r="102" spans="2:16" x14ac:dyDescent="0.25">
      <c r="B102" s="113"/>
      <c r="C102" s="118"/>
      <c r="D102" s="105"/>
      <c r="E102" s="105"/>
      <c r="F102" s="105"/>
      <c r="G102" s="105"/>
      <c r="H102" s="105"/>
      <c r="I102" s="105"/>
      <c r="J102" s="105"/>
      <c r="K102" s="105"/>
      <c r="L102" s="105"/>
      <c r="M102" s="106"/>
      <c r="N102" s="72"/>
      <c r="O102" s="72"/>
      <c r="P102" s="72"/>
    </row>
    <row r="103" spans="2:16" x14ac:dyDescent="0.25">
      <c r="B103" s="103" t="s">
        <v>31</v>
      </c>
      <c r="C103" s="104" t="s">
        <v>22</v>
      </c>
      <c r="D103" s="105">
        <v>1164</v>
      </c>
      <c r="E103" s="105">
        <v>1718845</v>
      </c>
      <c r="F103" s="105">
        <v>100720</v>
      </c>
      <c r="G103" s="105"/>
      <c r="H103" s="105">
        <v>20</v>
      </c>
      <c r="I103" s="105">
        <v>21929</v>
      </c>
      <c r="J103" s="105"/>
      <c r="K103" s="105">
        <f>1+22</f>
        <v>23</v>
      </c>
      <c r="L103" s="105">
        <f>1592+14339</f>
        <v>15931</v>
      </c>
      <c r="M103" s="106">
        <v>52050</v>
      </c>
      <c r="N103" s="72"/>
      <c r="O103" s="72"/>
      <c r="P103" s="72"/>
    </row>
    <row r="104" spans="2:16" x14ac:dyDescent="0.25"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92"/>
      <c r="N104" s="72"/>
      <c r="O104" s="72"/>
      <c r="P104" s="72"/>
    </row>
    <row r="105" spans="2:16" x14ac:dyDescent="0.25">
      <c r="B105" s="103" t="s">
        <v>65</v>
      </c>
      <c r="C105" s="104" t="s">
        <v>19</v>
      </c>
      <c r="D105" s="105">
        <v>1</v>
      </c>
      <c r="E105" s="105">
        <v>81</v>
      </c>
      <c r="F105" s="105">
        <v>0</v>
      </c>
      <c r="G105" s="105"/>
      <c r="H105" s="105">
        <v>0</v>
      </c>
      <c r="I105" s="105">
        <v>0</v>
      </c>
      <c r="J105" s="105"/>
      <c r="K105" s="123">
        <v>0</v>
      </c>
      <c r="L105" s="105">
        <v>0</v>
      </c>
      <c r="M105" s="106">
        <v>0</v>
      </c>
      <c r="N105" s="72"/>
      <c r="O105" s="72"/>
      <c r="P105" s="72"/>
    </row>
    <row r="106" spans="2:16" x14ac:dyDescent="0.25">
      <c r="B106" s="113"/>
      <c r="C106" s="118"/>
      <c r="D106" s="114"/>
      <c r="E106" s="114"/>
      <c r="F106" s="114"/>
      <c r="G106" s="114"/>
      <c r="H106" s="114"/>
      <c r="I106" s="114"/>
      <c r="J106" s="114"/>
      <c r="K106" s="114"/>
      <c r="L106" s="114"/>
      <c r="M106" s="115"/>
      <c r="N106" s="72"/>
      <c r="O106" s="72"/>
      <c r="P106" s="72"/>
    </row>
    <row r="107" spans="2:16" x14ac:dyDescent="0.25">
      <c r="B107" s="103" t="s">
        <v>32</v>
      </c>
      <c r="C107" s="104" t="s">
        <v>24</v>
      </c>
      <c r="D107" s="105">
        <v>441</v>
      </c>
      <c r="E107" s="105">
        <v>213861</v>
      </c>
      <c r="F107" s="105">
        <v>0</v>
      </c>
      <c r="G107" s="105"/>
      <c r="H107" s="105">
        <v>0</v>
      </c>
      <c r="I107" s="105">
        <v>0</v>
      </c>
      <c r="J107" s="105"/>
      <c r="K107" s="105">
        <v>28</v>
      </c>
      <c r="L107" s="105">
        <v>2682</v>
      </c>
      <c r="M107" s="106">
        <v>0</v>
      </c>
      <c r="N107" s="72"/>
      <c r="O107" s="72"/>
      <c r="P107" s="72"/>
    </row>
    <row r="108" spans="2:16" x14ac:dyDescent="0.25">
      <c r="B108" s="113" t="s">
        <v>66</v>
      </c>
      <c r="C108" s="118"/>
      <c r="D108" s="114"/>
      <c r="E108" s="114"/>
      <c r="F108" s="114"/>
      <c r="G108" s="114"/>
      <c r="H108" s="114"/>
      <c r="I108" s="114"/>
      <c r="J108" s="114"/>
      <c r="K108" s="114"/>
      <c r="L108" s="114"/>
      <c r="M108" s="115"/>
      <c r="N108" s="72"/>
      <c r="O108" s="72"/>
      <c r="P108" s="72"/>
    </row>
    <row r="109" spans="2:16" x14ac:dyDescent="0.25">
      <c r="B109" s="103" t="s">
        <v>33</v>
      </c>
      <c r="C109" s="104" t="s">
        <v>30</v>
      </c>
      <c r="D109" s="105">
        <v>20</v>
      </c>
      <c r="E109" s="105">
        <v>23206</v>
      </c>
      <c r="F109" s="105">
        <v>0</v>
      </c>
      <c r="G109" s="105"/>
      <c r="H109" s="105">
        <v>0</v>
      </c>
      <c r="I109" s="105">
        <v>0</v>
      </c>
      <c r="J109" s="105"/>
      <c r="K109" s="105">
        <v>0</v>
      </c>
      <c r="L109" s="105">
        <v>0</v>
      </c>
      <c r="M109" s="106">
        <v>0</v>
      </c>
      <c r="N109" s="72"/>
      <c r="O109" s="72"/>
      <c r="P109" s="72"/>
    </row>
    <row r="110" spans="2:16" x14ac:dyDescent="0.25">
      <c r="B110" s="113"/>
      <c r="C110" s="118"/>
      <c r="D110" s="114"/>
      <c r="E110" s="114"/>
      <c r="F110" s="114"/>
      <c r="G110" s="114"/>
      <c r="H110" s="114"/>
      <c r="I110" s="114"/>
      <c r="J110" s="114"/>
      <c r="K110" s="114"/>
      <c r="L110" s="114"/>
      <c r="M110" s="115"/>
      <c r="N110" s="72"/>
      <c r="O110" s="72"/>
      <c r="P110" s="72"/>
    </row>
    <row r="111" spans="2:16" x14ac:dyDescent="0.25">
      <c r="B111" s="103" t="s">
        <v>67</v>
      </c>
      <c r="C111" s="110" t="s">
        <v>12</v>
      </c>
      <c r="D111" s="111">
        <f>SUM(D112:D113)</f>
        <v>1115</v>
      </c>
      <c r="E111" s="111">
        <f>SUM(E112:E113)</f>
        <v>1274581</v>
      </c>
      <c r="F111" s="111">
        <f t="shared" ref="F111:M111" si="0">SUM(F112:F113)</f>
        <v>34590</v>
      </c>
      <c r="G111" s="111"/>
      <c r="H111" s="111">
        <f t="shared" si="0"/>
        <v>10</v>
      </c>
      <c r="I111" s="111">
        <f t="shared" si="0"/>
        <v>2502</v>
      </c>
      <c r="J111" s="111"/>
      <c r="K111" s="111">
        <f t="shared" si="0"/>
        <v>64</v>
      </c>
      <c r="L111" s="111">
        <f t="shared" si="0"/>
        <v>23764</v>
      </c>
      <c r="M111" s="112">
        <f t="shared" si="0"/>
        <v>20094</v>
      </c>
      <c r="N111" s="72"/>
      <c r="O111" s="72"/>
      <c r="P111" s="72"/>
    </row>
    <row r="112" spans="2:16" x14ac:dyDescent="0.25">
      <c r="B112" s="80"/>
      <c r="C112" s="104" t="s">
        <v>34</v>
      </c>
      <c r="D112" s="114">
        <v>1</v>
      </c>
      <c r="E112" s="114">
        <v>231</v>
      </c>
      <c r="F112" s="114">
        <v>0</v>
      </c>
      <c r="G112" s="114"/>
      <c r="H112" s="114">
        <v>0</v>
      </c>
      <c r="I112" s="114">
        <v>0</v>
      </c>
      <c r="J112" s="114"/>
      <c r="K112" s="119">
        <v>1</v>
      </c>
      <c r="L112" s="114">
        <v>661</v>
      </c>
      <c r="M112" s="115">
        <v>0</v>
      </c>
      <c r="N112" s="72"/>
      <c r="O112" s="72"/>
      <c r="P112" s="72"/>
    </row>
    <row r="113" spans="2:16" x14ac:dyDescent="0.25">
      <c r="B113" s="124"/>
      <c r="C113" s="104" t="s">
        <v>19</v>
      </c>
      <c r="D113" s="114">
        <f>672+442</f>
        <v>1114</v>
      </c>
      <c r="E113" s="114">
        <f>854491+419859</f>
        <v>1274350</v>
      </c>
      <c r="F113" s="114">
        <v>34590</v>
      </c>
      <c r="G113" s="114"/>
      <c r="H113" s="114">
        <f>6+4</f>
        <v>10</v>
      </c>
      <c r="I113" s="114">
        <f>2460+42</f>
        <v>2502</v>
      </c>
      <c r="J113" s="114"/>
      <c r="K113" s="119">
        <f>2+1+60</f>
        <v>63</v>
      </c>
      <c r="L113" s="114">
        <f>745+22358</f>
        <v>23103</v>
      </c>
      <c r="M113" s="125">
        <v>20094</v>
      </c>
      <c r="N113" s="72"/>
      <c r="O113" s="72"/>
      <c r="P113" s="72"/>
    </row>
    <row r="114" spans="2:16" x14ac:dyDescent="0.25">
      <c r="B114" s="76"/>
      <c r="C114" s="77"/>
      <c r="D114" s="126"/>
      <c r="E114" s="126"/>
      <c r="F114" s="126"/>
      <c r="G114" s="126"/>
      <c r="H114" s="126"/>
      <c r="I114" s="126"/>
      <c r="J114" s="126"/>
      <c r="K114" s="126"/>
      <c r="L114" s="126"/>
      <c r="M114" s="127"/>
      <c r="N114" s="79"/>
      <c r="O114" s="72"/>
      <c r="P114" s="72"/>
    </row>
    <row r="115" spans="2:16" x14ac:dyDescent="0.25">
      <c r="B115" s="103" t="s">
        <v>35</v>
      </c>
      <c r="C115" s="72"/>
      <c r="D115" s="128">
        <f>D111+D101+D107+D105+D109+D103+D89+D83+D78+D93+D76</f>
        <v>16943</v>
      </c>
      <c r="E115" s="128">
        <f t="shared" ref="E115:M115" si="1">E111+E101+E107+E105+E109+E103+E89+E83+E78+E93+E76</f>
        <v>13891627</v>
      </c>
      <c r="F115" s="128">
        <f t="shared" si="1"/>
        <v>367693</v>
      </c>
      <c r="G115" s="128"/>
      <c r="H115" s="128">
        <f t="shared" si="1"/>
        <v>224</v>
      </c>
      <c r="I115" s="128">
        <f t="shared" si="1"/>
        <v>69371</v>
      </c>
      <c r="J115" s="128"/>
      <c r="K115" s="128">
        <f t="shared" si="1"/>
        <v>2752</v>
      </c>
      <c r="L115" s="128">
        <f t="shared" si="1"/>
        <v>491281</v>
      </c>
      <c r="M115" s="129">
        <f t="shared" si="1"/>
        <v>250408</v>
      </c>
      <c r="N115" s="85"/>
      <c r="O115" s="72"/>
      <c r="P115" s="72"/>
    </row>
    <row r="116" spans="2:16" x14ac:dyDescent="0.25">
      <c r="B116" s="130" t="s">
        <v>36</v>
      </c>
      <c r="C116" s="72"/>
      <c r="D116" s="128"/>
      <c r="E116" s="128">
        <f>E115*P116</f>
        <v>238807903.59906</v>
      </c>
      <c r="F116" s="128">
        <f>F115*P116</f>
        <v>6320929.4705400001</v>
      </c>
      <c r="G116" s="128"/>
      <c r="H116" s="128"/>
      <c r="I116" s="128">
        <f>I115*P116</f>
        <v>1192541.59938</v>
      </c>
      <c r="J116" s="128"/>
      <c r="K116" s="128"/>
      <c r="L116" s="128">
        <f>L115*P116</f>
        <v>8445503.5891800001</v>
      </c>
      <c r="M116" s="129">
        <f>M115*P116</f>
        <v>4304708.8382400004</v>
      </c>
      <c r="N116" s="85"/>
      <c r="O116" s="50" t="s">
        <v>72</v>
      </c>
      <c r="P116" s="51">
        <v>17.19078</v>
      </c>
    </row>
    <row r="117" spans="2:16" x14ac:dyDescent="0.25">
      <c r="B117" s="100"/>
      <c r="C117" s="10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2"/>
      <c r="N117" s="79"/>
      <c r="O117" s="72"/>
      <c r="P117" s="72"/>
    </row>
    <row r="118" spans="2:16" x14ac:dyDescent="0.25">
      <c r="B118" s="1"/>
      <c r="C118" s="133"/>
      <c r="D118" s="133"/>
      <c r="E118" s="134"/>
      <c r="F118" s="134"/>
      <c r="G118" s="134"/>
      <c r="H118" s="133"/>
      <c r="I118" s="133"/>
      <c r="J118" s="133"/>
      <c r="K118" s="133"/>
      <c r="L118" s="133"/>
      <c r="M118" s="133"/>
      <c r="N118" s="133"/>
      <c r="O118" s="72"/>
      <c r="P118" s="72"/>
    </row>
  </sheetData>
  <mergeCells count="1">
    <mergeCell ref="D52:E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selection activeCell="B3" sqref="B3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2" style="1" customWidth="1"/>
    <col min="7" max="7" width="19.7109375" style="1" bestFit="1" customWidth="1"/>
    <col min="8" max="8" width="12.85546875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5.28515625" style="1" bestFit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2" style="1" customWidth="1"/>
    <col min="263" max="263" width="11" style="1" customWidth="1"/>
    <col min="264" max="264" width="12.85546875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2" style="1" customWidth="1"/>
    <col min="519" max="519" width="11" style="1" customWidth="1"/>
    <col min="520" max="520" width="12.85546875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2" style="1" customWidth="1"/>
    <col min="775" max="775" width="11" style="1" customWidth="1"/>
    <col min="776" max="776" width="12.85546875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2" style="1" customWidth="1"/>
    <col min="1031" max="1031" width="11" style="1" customWidth="1"/>
    <col min="1032" max="1032" width="12.85546875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2" style="1" customWidth="1"/>
    <col min="1287" max="1287" width="11" style="1" customWidth="1"/>
    <col min="1288" max="1288" width="12.85546875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2" style="1" customWidth="1"/>
    <col min="1543" max="1543" width="11" style="1" customWidth="1"/>
    <col min="1544" max="1544" width="12.85546875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2" style="1" customWidth="1"/>
    <col min="1799" max="1799" width="11" style="1" customWidth="1"/>
    <col min="1800" max="1800" width="12.85546875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2" style="1" customWidth="1"/>
    <col min="2055" max="2055" width="11" style="1" customWidth="1"/>
    <col min="2056" max="2056" width="12.85546875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2" style="1" customWidth="1"/>
    <col min="2311" max="2311" width="11" style="1" customWidth="1"/>
    <col min="2312" max="2312" width="12.85546875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2" style="1" customWidth="1"/>
    <col min="2567" max="2567" width="11" style="1" customWidth="1"/>
    <col min="2568" max="2568" width="12.85546875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2" style="1" customWidth="1"/>
    <col min="2823" max="2823" width="11" style="1" customWidth="1"/>
    <col min="2824" max="2824" width="12.85546875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2" style="1" customWidth="1"/>
    <col min="3079" max="3079" width="11" style="1" customWidth="1"/>
    <col min="3080" max="3080" width="12.85546875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2" style="1" customWidth="1"/>
    <col min="3335" max="3335" width="11" style="1" customWidth="1"/>
    <col min="3336" max="3336" width="12.85546875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2" style="1" customWidth="1"/>
    <col min="3591" max="3591" width="11" style="1" customWidth="1"/>
    <col min="3592" max="3592" width="12.85546875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2" style="1" customWidth="1"/>
    <col min="3847" max="3847" width="11" style="1" customWidth="1"/>
    <col min="3848" max="3848" width="12.85546875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2" style="1" customWidth="1"/>
    <col min="4103" max="4103" width="11" style="1" customWidth="1"/>
    <col min="4104" max="4104" width="12.85546875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2" style="1" customWidth="1"/>
    <col min="4359" max="4359" width="11" style="1" customWidth="1"/>
    <col min="4360" max="4360" width="12.85546875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2" style="1" customWidth="1"/>
    <col min="4615" max="4615" width="11" style="1" customWidth="1"/>
    <col min="4616" max="4616" width="12.85546875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2" style="1" customWidth="1"/>
    <col min="4871" max="4871" width="11" style="1" customWidth="1"/>
    <col min="4872" max="4872" width="12.85546875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2" style="1" customWidth="1"/>
    <col min="5127" max="5127" width="11" style="1" customWidth="1"/>
    <col min="5128" max="5128" width="12.85546875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2" style="1" customWidth="1"/>
    <col min="5383" max="5383" width="11" style="1" customWidth="1"/>
    <col min="5384" max="5384" width="12.85546875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2" style="1" customWidth="1"/>
    <col min="5639" max="5639" width="11" style="1" customWidth="1"/>
    <col min="5640" max="5640" width="12.85546875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2" style="1" customWidth="1"/>
    <col min="5895" max="5895" width="11" style="1" customWidth="1"/>
    <col min="5896" max="5896" width="12.85546875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2" style="1" customWidth="1"/>
    <col min="6151" max="6151" width="11" style="1" customWidth="1"/>
    <col min="6152" max="6152" width="12.85546875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2" style="1" customWidth="1"/>
    <col min="6407" max="6407" width="11" style="1" customWidth="1"/>
    <col min="6408" max="6408" width="12.85546875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2" style="1" customWidth="1"/>
    <col min="6663" max="6663" width="11" style="1" customWidth="1"/>
    <col min="6664" max="6664" width="12.85546875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2" style="1" customWidth="1"/>
    <col min="6919" max="6919" width="11" style="1" customWidth="1"/>
    <col min="6920" max="6920" width="12.85546875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2" style="1" customWidth="1"/>
    <col min="7175" max="7175" width="11" style="1" customWidth="1"/>
    <col min="7176" max="7176" width="12.85546875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2" style="1" customWidth="1"/>
    <col min="7431" max="7431" width="11" style="1" customWidth="1"/>
    <col min="7432" max="7432" width="12.85546875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2" style="1" customWidth="1"/>
    <col min="7687" max="7687" width="11" style="1" customWidth="1"/>
    <col min="7688" max="7688" width="12.85546875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2" style="1" customWidth="1"/>
    <col min="7943" max="7943" width="11" style="1" customWidth="1"/>
    <col min="7944" max="7944" width="12.85546875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2" style="1" customWidth="1"/>
    <col min="8199" max="8199" width="11" style="1" customWidth="1"/>
    <col min="8200" max="8200" width="12.85546875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2" style="1" customWidth="1"/>
    <col min="8455" max="8455" width="11" style="1" customWidth="1"/>
    <col min="8456" max="8456" width="12.85546875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2" style="1" customWidth="1"/>
    <col min="8711" max="8711" width="11" style="1" customWidth="1"/>
    <col min="8712" max="8712" width="12.85546875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2" style="1" customWidth="1"/>
    <col min="8967" max="8967" width="11" style="1" customWidth="1"/>
    <col min="8968" max="8968" width="12.85546875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2" style="1" customWidth="1"/>
    <col min="9223" max="9223" width="11" style="1" customWidth="1"/>
    <col min="9224" max="9224" width="12.85546875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2" style="1" customWidth="1"/>
    <col min="9479" max="9479" width="11" style="1" customWidth="1"/>
    <col min="9480" max="9480" width="12.85546875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2" style="1" customWidth="1"/>
    <col min="9735" max="9735" width="11" style="1" customWidth="1"/>
    <col min="9736" max="9736" width="12.85546875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2" style="1" customWidth="1"/>
    <col min="9991" max="9991" width="11" style="1" customWidth="1"/>
    <col min="9992" max="9992" width="12.85546875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2" style="1" customWidth="1"/>
    <col min="10247" max="10247" width="11" style="1" customWidth="1"/>
    <col min="10248" max="10248" width="12.85546875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2" style="1" customWidth="1"/>
    <col min="10503" max="10503" width="11" style="1" customWidth="1"/>
    <col min="10504" max="10504" width="12.85546875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2" style="1" customWidth="1"/>
    <col min="10759" max="10759" width="11" style="1" customWidth="1"/>
    <col min="10760" max="10760" width="12.85546875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2" style="1" customWidth="1"/>
    <col min="11015" max="11015" width="11" style="1" customWidth="1"/>
    <col min="11016" max="11016" width="12.85546875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2" style="1" customWidth="1"/>
    <col min="11271" max="11271" width="11" style="1" customWidth="1"/>
    <col min="11272" max="11272" width="12.85546875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2" style="1" customWidth="1"/>
    <col min="11527" max="11527" width="11" style="1" customWidth="1"/>
    <col min="11528" max="11528" width="12.85546875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2" style="1" customWidth="1"/>
    <col min="11783" max="11783" width="11" style="1" customWidth="1"/>
    <col min="11784" max="11784" width="12.85546875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2" style="1" customWidth="1"/>
    <col min="12039" max="12039" width="11" style="1" customWidth="1"/>
    <col min="12040" max="12040" width="12.85546875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2" style="1" customWidth="1"/>
    <col min="12295" max="12295" width="11" style="1" customWidth="1"/>
    <col min="12296" max="12296" width="12.85546875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2" style="1" customWidth="1"/>
    <col min="12551" max="12551" width="11" style="1" customWidth="1"/>
    <col min="12552" max="12552" width="12.85546875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2" style="1" customWidth="1"/>
    <col min="12807" max="12807" width="11" style="1" customWidth="1"/>
    <col min="12808" max="12808" width="12.85546875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2" style="1" customWidth="1"/>
    <col min="13063" max="13063" width="11" style="1" customWidth="1"/>
    <col min="13064" max="13064" width="12.85546875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2" style="1" customWidth="1"/>
    <col min="13319" max="13319" width="11" style="1" customWidth="1"/>
    <col min="13320" max="13320" width="12.85546875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2" style="1" customWidth="1"/>
    <col min="13575" max="13575" width="11" style="1" customWidth="1"/>
    <col min="13576" max="13576" width="12.85546875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2" style="1" customWidth="1"/>
    <col min="13831" max="13831" width="11" style="1" customWidth="1"/>
    <col min="13832" max="13832" width="12.85546875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2" style="1" customWidth="1"/>
    <col min="14087" max="14087" width="11" style="1" customWidth="1"/>
    <col min="14088" max="14088" width="12.85546875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2" style="1" customWidth="1"/>
    <col min="14343" max="14343" width="11" style="1" customWidth="1"/>
    <col min="14344" max="14344" width="12.85546875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2" style="1" customWidth="1"/>
    <col min="14599" max="14599" width="11" style="1" customWidth="1"/>
    <col min="14600" max="14600" width="12.85546875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2" style="1" customWidth="1"/>
    <col min="14855" max="14855" width="11" style="1" customWidth="1"/>
    <col min="14856" max="14856" width="12.85546875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2" style="1" customWidth="1"/>
    <col min="15111" max="15111" width="11" style="1" customWidth="1"/>
    <col min="15112" max="15112" width="12.85546875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2" style="1" customWidth="1"/>
    <col min="15367" max="15367" width="11" style="1" customWidth="1"/>
    <col min="15368" max="15368" width="12.85546875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2" style="1" customWidth="1"/>
    <col min="15623" max="15623" width="11" style="1" customWidth="1"/>
    <col min="15624" max="15624" width="12.85546875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2" style="1" customWidth="1"/>
    <col min="15879" max="15879" width="11" style="1" customWidth="1"/>
    <col min="15880" max="15880" width="12.85546875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2" style="1" customWidth="1"/>
    <col min="16135" max="16135" width="11" style="1" customWidth="1"/>
    <col min="16136" max="16136" width="12.85546875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73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4"/>
      <c r="E6" s="15" t="s">
        <v>5</v>
      </c>
      <c r="F6" s="16"/>
      <c r="G6" s="17" t="s">
        <v>6</v>
      </c>
      <c r="H6" s="18"/>
      <c r="I6" s="19"/>
      <c r="L6" s="7"/>
      <c r="M6" s="8"/>
      <c r="N6" s="8"/>
    </row>
    <row r="7" spans="1:15" x14ac:dyDescent="0.2">
      <c r="A7" s="19"/>
      <c r="B7" s="20"/>
      <c r="D7" s="21" t="s">
        <v>7</v>
      </c>
      <c r="E7" s="22" t="s">
        <v>8</v>
      </c>
      <c r="F7" s="22"/>
      <c r="G7" s="21" t="s">
        <v>7</v>
      </c>
      <c r="H7" s="23" t="s">
        <v>8</v>
      </c>
      <c r="I7" s="19"/>
      <c r="L7" s="7"/>
      <c r="M7" s="8"/>
      <c r="N7" s="8"/>
    </row>
    <row r="8" spans="1:15" x14ac:dyDescent="0.2">
      <c r="A8" s="19"/>
      <c r="B8" s="24"/>
      <c r="C8" s="25"/>
      <c r="D8" s="25"/>
      <c r="E8" s="25"/>
      <c r="F8" s="25"/>
      <c r="G8" s="25"/>
      <c r="H8" s="26"/>
      <c r="I8" s="27"/>
      <c r="L8" s="7"/>
      <c r="M8" s="8"/>
      <c r="N8" s="8"/>
    </row>
    <row r="9" spans="1:15" x14ac:dyDescent="0.2">
      <c r="A9" s="19"/>
      <c r="B9" s="28" t="s">
        <v>9</v>
      </c>
      <c r="C9" s="29" t="s">
        <v>10</v>
      </c>
      <c r="D9" s="30">
        <v>159</v>
      </c>
      <c r="E9" s="30">
        <v>144379</v>
      </c>
      <c r="G9" s="30">
        <v>133</v>
      </c>
      <c r="H9" s="31">
        <v>66575</v>
      </c>
      <c r="I9" s="19"/>
      <c r="J9" s="32">
        <f>+D9+G9</f>
        <v>292</v>
      </c>
      <c r="K9" s="32">
        <f>+E9+H9</f>
        <v>210954</v>
      </c>
      <c r="L9" s="7"/>
      <c r="M9" s="8"/>
      <c r="N9" s="8"/>
    </row>
    <row r="10" spans="1:15" x14ac:dyDescent="0.2">
      <c r="A10" s="19"/>
      <c r="B10" s="33"/>
      <c r="C10" s="34"/>
      <c r="D10" s="35"/>
      <c r="E10" s="35"/>
      <c r="F10" s="35"/>
      <c r="G10" s="35"/>
      <c r="H10" s="36"/>
      <c r="I10" s="19"/>
      <c r="J10" s="32"/>
      <c r="K10" s="32"/>
      <c r="L10" s="7"/>
      <c r="M10" s="8"/>
      <c r="N10" s="8"/>
    </row>
    <row r="11" spans="1:15" x14ac:dyDescent="0.2">
      <c r="A11" s="19"/>
      <c r="B11" s="28" t="s">
        <v>11</v>
      </c>
      <c r="C11" s="37" t="s">
        <v>12</v>
      </c>
      <c r="D11" s="38">
        <f>SUM(D12:D14)</f>
        <v>3611</v>
      </c>
      <c r="E11" s="38">
        <f>SUM(E12:E14)</f>
        <v>4071391</v>
      </c>
      <c r="F11" s="38"/>
      <c r="G11" s="38">
        <f>SUM(G12:G14)</f>
        <v>2795</v>
      </c>
      <c r="H11" s="39">
        <f>SUM(H12:H14)</f>
        <v>1760012</v>
      </c>
      <c r="I11" s="19"/>
      <c r="J11" s="32">
        <f t="shared" ref="J11:K42" si="0">+D11+G11</f>
        <v>6406</v>
      </c>
      <c r="K11" s="32">
        <f>+E11+H11</f>
        <v>5831403</v>
      </c>
      <c r="L11" s="7"/>
      <c r="M11" s="135"/>
      <c r="N11" s="8"/>
    </row>
    <row r="12" spans="1:15" x14ac:dyDescent="0.2">
      <c r="A12" s="19"/>
      <c r="B12" s="28"/>
      <c r="C12" s="29" t="s">
        <v>13</v>
      </c>
      <c r="D12" s="35">
        <v>361</v>
      </c>
      <c r="E12" s="35">
        <v>349152</v>
      </c>
      <c r="F12" s="35"/>
      <c r="G12" s="35">
        <v>334</v>
      </c>
      <c r="H12" s="36">
        <v>175329</v>
      </c>
      <c r="I12" s="19"/>
      <c r="J12" s="32">
        <f t="shared" si="0"/>
        <v>695</v>
      </c>
      <c r="K12" s="32">
        <f>+E12+H12</f>
        <v>524481</v>
      </c>
      <c r="L12" s="7"/>
      <c r="M12" s="8"/>
      <c r="N12" s="8"/>
    </row>
    <row r="13" spans="1:15" x14ac:dyDescent="0.2">
      <c r="A13" s="19"/>
      <c r="B13" s="33"/>
      <c r="C13" s="29" t="s">
        <v>14</v>
      </c>
      <c r="D13" s="30">
        <v>3113</v>
      </c>
      <c r="E13" s="30">
        <v>3613221</v>
      </c>
      <c r="F13" s="30"/>
      <c r="G13" s="30">
        <v>2353</v>
      </c>
      <c r="H13" s="31">
        <v>1532222</v>
      </c>
      <c r="I13" s="19"/>
      <c r="J13" s="32">
        <f t="shared" si="0"/>
        <v>5466</v>
      </c>
      <c r="K13" s="32">
        <f>+E13+H13</f>
        <v>5145443</v>
      </c>
      <c r="L13" s="8"/>
      <c r="M13" s="8"/>
      <c r="N13" s="8"/>
    </row>
    <row r="14" spans="1:15" x14ac:dyDescent="0.2">
      <c r="A14" s="19"/>
      <c r="B14" s="33"/>
      <c r="C14" s="29" t="s">
        <v>15</v>
      </c>
      <c r="D14" s="35">
        <v>137</v>
      </c>
      <c r="E14" s="35">
        <v>109018</v>
      </c>
      <c r="F14" s="35"/>
      <c r="G14" s="35">
        <v>108</v>
      </c>
      <c r="H14" s="36">
        <v>52461</v>
      </c>
      <c r="I14" s="19"/>
      <c r="J14" s="32">
        <f>+D14+G14</f>
        <v>245</v>
      </c>
      <c r="K14" s="32">
        <f>+E14+H14</f>
        <v>161479</v>
      </c>
      <c r="M14" s="8"/>
      <c r="N14" s="8"/>
    </row>
    <row r="15" spans="1:15" x14ac:dyDescent="0.2">
      <c r="A15" s="19"/>
      <c r="B15" s="33"/>
      <c r="C15" s="34"/>
      <c r="D15" s="30"/>
      <c r="E15" s="30"/>
      <c r="F15" s="30"/>
      <c r="G15" s="30"/>
      <c r="H15" s="31"/>
      <c r="I15" s="19"/>
      <c r="J15" s="32"/>
      <c r="K15" s="32"/>
      <c r="L15" s="8"/>
      <c r="M15" s="8"/>
      <c r="N15" s="8"/>
    </row>
    <row r="16" spans="1:15" x14ac:dyDescent="0.2">
      <c r="A16" s="19"/>
      <c r="B16" s="28" t="s">
        <v>16</v>
      </c>
      <c r="C16" s="29" t="s">
        <v>17</v>
      </c>
      <c r="D16" s="40">
        <v>632</v>
      </c>
      <c r="E16" s="40">
        <v>789161</v>
      </c>
      <c r="F16" s="40"/>
      <c r="G16" s="40">
        <v>326</v>
      </c>
      <c r="H16" s="41">
        <v>229975</v>
      </c>
      <c r="I16" s="19"/>
      <c r="J16" s="32">
        <f t="shared" si="0"/>
        <v>958</v>
      </c>
      <c r="K16" s="32">
        <f>+E16+H16</f>
        <v>1019136</v>
      </c>
      <c r="L16" s="8"/>
      <c r="M16" s="8"/>
      <c r="N16" s="8"/>
    </row>
    <row r="17" spans="1:14" x14ac:dyDescent="0.2">
      <c r="A17" s="19"/>
      <c r="B17" s="28"/>
      <c r="C17" s="29"/>
      <c r="D17" s="40"/>
      <c r="E17" s="40"/>
      <c r="F17" s="40"/>
      <c r="G17" s="40"/>
      <c r="H17" s="41"/>
      <c r="I17" s="19"/>
      <c r="J17" s="32"/>
      <c r="K17" s="32"/>
      <c r="L17" s="8"/>
      <c r="M17" s="8"/>
      <c r="N17" s="8"/>
    </row>
    <row r="18" spans="1:14" x14ac:dyDescent="0.2">
      <c r="A18" s="19"/>
      <c r="B18" s="42" t="s">
        <v>18</v>
      </c>
      <c r="C18" s="29" t="s">
        <v>19</v>
      </c>
      <c r="D18" s="40">
        <v>549</v>
      </c>
      <c r="E18" s="40">
        <v>894271</v>
      </c>
      <c r="F18" s="40"/>
      <c r="G18" s="40">
        <v>606</v>
      </c>
      <c r="H18" s="41">
        <v>378871</v>
      </c>
      <c r="I18" s="19"/>
      <c r="J18" s="32">
        <f t="shared" si="0"/>
        <v>1155</v>
      </c>
      <c r="K18" s="32">
        <f>+E18+H18</f>
        <v>1273142</v>
      </c>
      <c r="L18" s="8"/>
      <c r="M18" s="8"/>
      <c r="N18" s="8"/>
    </row>
    <row r="19" spans="1:14" x14ac:dyDescent="0.2">
      <c r="A19" s="19"/>
      <c r="B19" s="28"/>
      <c r="C19" s="29"/>
      <c r="D19" s="30"/>
      <c r="E19" s="30"/>
      <c r="F19" s="30"/>
      <c r="G19" s="30"/>
      <c r="H19" s="31"/>
      <c r="I19" s="19"/>
      <c r="J19" s="32"/>
      <c r="K19" s="32"/>
      <c r="L19" s="8"/>
      <c r="M19" s="8"/>
      <c r="N19" s="8"/>
    </row>
    <row r="20" spans="1:14" x14ac:dyDescent="0.2">
      <c r="A20" s="19"/>
      <c r="B20" s="28" t="s">
        <v>20</v>
      </c>
      <c r="C20" s="37" t="s">
        <v>12</v>
      </c>
      <c r="D20" s="38">
        <f>SUM(D21:D26)</f>
        <v>650</v>
      </c>
      <c r="E20" s="38">
        <f>SUM(E21:E26)</f>
        <v>786809</v>
      </c>
      <c r="F20" s="38"/>
      <c r="G20" s="38">
        <f>SUM(G21:G26)</f>
        <v>470</v>
      </c>
      <c r="H20" s="39">
        <f>SUM(H21:H26)</f>
        <v>367747</v>
      </c>
      <c r="I20" s="19"/>
      <c r="J20" s="32">
        <f t="shared" si="0"/>
        <v>1120</v>
      </c>
      <c r="K20" s="32">
        <f t="shared" si="0"/>
        <v>1154556</v>
      </c>
    </row>
    <row r="21" spans="1:14" x14ac:dyDescent="0.2">
      <c r="A21" s="19"/>
      <c r="B21" s="33"/>
      <c r="C21" s="29" t="s">
        <v>21</v>
      </c>
      <c r="D21" s="30">
        <v>69</v>
      </c>
      <c r="E21" s="30">
        <v>46073</v>
      </c>
      <c r="F21" s="30"/>
      <c r="G21" s="30">
        <v>49</v>
      </c>
      <c r="H21" s="31">
        <v>21644</v>
      </c>
      <c r="I21" s="19"/>
      <c r="J21" s="32">
        <f t="shared" si="0"/>
        <v>118</v>
      </c>
      <c r="K21" s="32">
        <f t="shared" si="0"/>
        <v>67717</v>
      </c>
    </row>
    <row r="22" spans="1:14" x14ac:dyDescent="0.2">
      <c r="A22" s="19"/>
      <c r="B22" s="33"/>
      <c r="C22" s="29" t="s">
        <v>22</v>
      </c>
      <c r="D22" s="30">
        <v>114</v>
      </c>
      <c r="E22" s="30">
        <v>265496</v>
      </c>
      <c r="F22" s="30"/>
      <c r="G22" s="30">
        <v>72</v>
      </c>
      <c r="H22" s="31">
        <v>130718</v>
      </c>
      <c r="I22" s="19"/>
      <c r="J22" s="32">
        <f t="shared" si="0"/>
        <v>186</v>
      </c>
      <c r="K22" s="32">
        <f t="shared" si="0"/>
        <v>396214</v>
      </c>
    </row>
    <row r="23" spans="1:14" x14ac:dyDescent="0.2">
      <c r="A23" s="19"/>
      <c r="B23" s="33"/>
      <c r="C23" s="29" t="s">
        <v>23</v>
      </c>
      <c r="D23" s="30">
        <v>219</v>
      </c>
      <c r="E23" s="30">
        <v>184609</v>
      </c>
      <c r="F23" s="30"/>
      <c r="G23" s="30">
        <v>140</v>
      </c>
      <c r="H23" s="31">
        <v>68709</v>
      </c>
      <c r="I23" s="19"/>
      <c r="J23" s="32">
        <f t="shared" si="0"/>
        <v>359</v>
      </c>
      <c r="K23" s="32">
        <f t="shared" si="0"/>
        <v>253318</v>
      </c>
    </row>
    <row r="24" spans="1:14" x14ac:dyDescent="0.2">
      <c r="A24" s="19"/>
      <c r="B24" s="33"/>
      <c r="C24" s="29" t="s">
        <v>24</v>
      </c>
      <c r="D24" s="30">
        <v>16</v>
      </c>
      <c r="E24" s="30">
        <v>21022</v>
      </c>
      <c r="F24" s="30"/>
      <c r="G24" s="30">
        <v>31</v>
      </c>
      <c r="H24" s="31">
        <v>17407</v>
      </c>
      <c r="I24" s="19"/>
      <c r="J24" s="32">
        <f t="shared" si="0"/>
        <v>47</v>
      </c>
      <c r="K24" s="32">
        <f t="shared" si="0"/>
        <v>38429</v>
      </c>
    </row>
    <row r="25" spans="1:14" x14ac:dyDescent="0.2">
      <c r="A25" s="19"/>
      <c r="B25" s="33"/>
      <c r="C25" s="29" t="s">
        <v>25</v>
      </c>
      <c r="D25" s="30">
        <v>180</v>
      </c>
      <c r="E25" s="30">
        <v>183021</v>
      </c>
      <c r="F25" s="30"/>
      <c r="G25" s="30">
        <v>138</v>
      </c>
      <c r="H25" s="31">
        <v>82925</v>
      </c>
      <c r="I25" s="19"/>
      <c r="J25" s="32">
        <f t="shared" si="0"/>
        <v>318</v>
      </c>
      <c r="K25" s="32">
        <f t="shared" si="0"/>
        <v>265946</v>
      </c>
    </row>
    <row r="26" spans="1:14" x14ac:dyDescent="0.2">
      <c r="A26" s="19"/>
      <c r="B26" s="33"/>
      <c r="C26" s="29" t="s">
        <v>26</v>
      </c>
      <c r="D26" s="30">
        <v>52</v>
      </c>
      <c r="E26" s="30">
        <v>86588</v>
      </c>
      <c r="F26" s="30"/>
      <c r="G26" s="30">
        <v>40</v>
      </c>
      <c r="H26" s="31">
        <v>46344</v>
      </c>
      <c r="I26" s="19"/>
      <c r="J26" s="32">
        <f t="shared" si="0"/>
        <v>92</v>
      </c>
      <c r="K26" s="32">
        <f t="shared" si="0"/>
        <v>132932</v>
      </c>
    </row>
    <row r="27" spans="1:14" x14ac:dyDescent="0.2">
      <c r="A27" s="19"/>
      <c r="B27" s="33"/>
      <c r="C27" s="34"/>
      <c r="D27" s="35"/>
      <c r="E27" s="35"/>
      <c r="F27" s="35"/>
      <c r="G27" s="35"/>
      <c r="H27" s="36"/>
      <c r="I27" s="19"/>
      <c r="J27" s="32"/>
      <c r="K27" s="32"/>
    </row>
    <row r="28" spans="1:14" x14ac:dyDescent="0.2">
      <c r="A28" s="19"/>
      <c r="B28" s="42" t="s">
        <v>27</v>
      </c>
      <c r="C28" s="37" t="s">
        <v>12</v>
      </c>
      <c r="D28" s="43">
        <f>SUM(D29:D30)</f>
        <v>2752</v>
      </c>
      <c r="E28" s="38">
        <f>SUM(E29:E30)</f>
        <v>3285210</v>
      </c>
      <c r="F28" s="38"/>
      <c r="G28" s="38">
        <f>SUM(G29:G30)</f>
        <v>1895</v>
      </c>
      <c r="H28" s="39">
        <f>SUM(H29:H30)</f>
        <v>1203265</v>
      </c>
      <c r="I28" s="19"/>
      <c r="J28" s="32">
        <f t="shared" si="0"/>
        <v>4647</v>
      </c>
      <c r="K28" s="32">
        <f>+E28+H28</f>
        <v>4488475</v>
      </c>
    </row>
    <row r="29" spans="1:14" x14ac:dyDescent="0.2">
      <c r="A29" s="19"/>
      <c r="B29" s="33"/>
      <c r="C29" s="29" t="s">
        <v>28</v>
      </c>
      <c r="D29" s="30">
        <v>2099</v>
      </c>
      <c r="E29" s="30">
        <v>2622666</v>
      </c>
      <c r="F29" s="30"/>
      <c r="G29" s="44">
        <v>1516</v>
      </c>
      <c r="H29" s="31">
        <v>1045267</v>
      </c>
      <c r="I29" s="19"/>
      <c r="J29" s="32">
        <f t="shared" si="0"/>
        <v>3615</v>
      </c>
      <c r="K29" s="32">
        <f>+E29+H29</f>
        <v>3667933</v>
      </c>
    </row>
    <row r="30" spans="1:14" x14ac:dyDescent="0.2">
      <c r="A30" s="19"/>
      <c r="B30" s="33"/>
      <c r="C30" s="29" t="s">
        <v>15</v>
      </c>
      <c r="D30" s="30">
        <v>653</v>
      </c>
      <c r="E30" s="30">
        <v>662544</v>
      </c>
      <c r="F30" s="30"/>
      <c r="G30" s="44">
        <v>379</v>
      </c>
      <c r="H30" s="31">
        <v>157998</v>
      </c>
      <c r="I30" s="19"/>
      <c r="J30" s="32">
        <f t="shared" si="0"/>
        <v>1032</v>
      </c>
      <c r="K30" s="32">
        <f>+E30+H30</f>
        <v>820542</v>
      </c>
    </row>
    <row r="31" spans="1:14" x14ac:dyDescent="0.2">
      <c r="A31" s="19"/>
      <c r="B31" s="33"/>
      <c r="C31" s="34"/>
      <c r="D31" s="30"/>
      <c r="E31" s="30"/>
      <c r="F31" s="30"/>
      <c r="G31" s="30"/>
      <c r="H31" s="31"/>
      <c r="I31" s="19"/>
      <c r="J31" s="32"/>
      <c r="K31" s="32"/>
    </row>
    <row r="32" spans="1:14" x14ac:dyDescent="0.2">
      <c r="A32" s="19"/>
      <c r="B32" s="28" t="s">
        <v>29</v>
      </c>
      <c r="C32" s="37" t="s">
        <v>12</v>
      </c>
      <c r="D32" s="38">
        <f>SUM(D33:D34)</f>
        <v>452</v>
      </c>
      <c r="E32" s="38">
        <f>SUM(E33:E34)</f>
        <v>568829</v>
      </c>
      <c r="F32" s="38"/>
      <c r="G32" s="38">
        <f>SUM(G33:G34)</f>
        <v>321</v>
      </c>
      <c r="H32" s="39">
        <f>SUM(H33:H34)</f>
        <v>241020</v>
      </c>
      <c r="I32" s="19"/>
      <c r="J32" s="32">
        <f t="shared" si="0"/>
        <v>773</v>
      </c>
      <c r="K32" s="32">
        <f>+E32+H32</f>
        <v>809849</v>
      </c>
    </row>
    <row r="33" spans="1:11" x14ac:dyDescent="0.2">
      <c r="A33" s="19"/>
      <c r="B33" s="33"/>
      <c r="C33" s="45" t="s">
        <v>17</v>
      </c>
      <c r="D33" s="30">
        <v>356</v>
      </c>
      <c r="E33" s="30">
        <v>471479</v>
      </c>
      <c r="F33" s="30"/>
      <c r="G33" s="30">
        <v>284</v>
      </c>
      <c r="H33" s="31">
        <v>223748</v>
      </c>
      <c r="I33" s="19"/>
      <c r="J33" s="32">
        <f t="shared" si="0"/>
        <v>640</v>
      </c>
      <c r="K33" s="32">
        <f>+E33+H33</f>
        <v>695227</v>
      </c>
    </row>
    <row r="34" spans="1:11" x14ac:dyDescent="0.2">
      <c r="A34" s="19"/>
      <c r="B34" s="33"/>
      <c r="C34" s="29" t="s">
        <v>30</v>
      </c>
      <c r="D34" s="30">
        <v>96</v>
      </c>
      <c r="E34" s="30">
        <v>97350</v>
      </c>
      <c r="F34" s="30"/>
      <c r="G34" s="30">
        <v>37</v>
      </c>
      <c r="H34" s="31">
        <v>17272</v>
      </c>
      <c r="I34" s="19"/>
      <c r="J34" s="32">
        <f t="shared" si="0"/>
        <v>133</v>
      </c>
      <c r="K34" s="32">
        <f>+E34+H34</f>
        <v>114622</v>
      </c>
    </row>
    <row r="35" spans="1:11" x14ac:dyDescent="0.2">
      <c r="A35" s="19"/>
      <c r="B35" s="33"/>
      <c r="C35" s="34"/>
      <c r="D35" s="35"/>
      <c r="E35" s="35"/>
      <c r="F35" s="35"/>
      <c r="G35" s="35"/>
      <c r="H35" s="36"/>
      <c r="I35" s="19"/>
      <c r="J35" s="32"/>
      <c r="K35" s="32"/>
    </row>
    <row r="36" spans="1:11" x14ac:dyDescent="0.2">
      <c r="A36" s="19"/>
      <c r="B36" s="28" t="s">
        <v>31</v>
      </c>
      <c r="C36" s="37" t="s">
        <v>12</v>
      </c>
      <c r="D36" s="38">
        <f>SUM(D37:D38)</f>
        <v>285</v>
      </c>
      <c r="E36" s="38">
        <f>SUM(E37:E38)</f>
        <v>411704</v>
      </c>
      <c r="F36" s="38"/>
      <c r="G36" s="38">
        <f>SUM(G37:G38)</f>
        <v>228</v>
      </c>
      <c r="H36" s="39">
        <f>SUM(H37:H38)</f>
        <v>206344</v>
      </c>
      <c r="I36" s="19"/>
      <c r="J36" s="32">
        <f t="shared" si="0"/>
        <v>513</v>
      </c>
      <c r="K36" s="32">
        <f>+E36+H36</f>
        <v>618048</v>
      </c>
    </row>
    <row r="37" spans="1:11" x14ac:dyDescent="0.2">
      <c r="A37" s="19"/>
      <c r="B37" s="33"/>
      <c r="C37" s="29" t="s">
        <v>17</v>
      </c>
      <c r="D37" s="30">
        <v>150</v>
      </c>
      <c r="E37" s="30">
        <v>276414</v>
      </c>
      <c r="F37" s="30"/>
      <c r="G37" s="30">
        <v>120</v>
      </c>
      <c r="H37" s="31">
        <v>128723</v>
      </c>
      <c r="I37" s="19"/>
      <c r="J37" s="32">
        <f t="shared" si="0"/>
        <v>270</v>
      </c>
      <c r="K37" s="32">
        <f>+E37+H37</f>
        <v>405137</v>
      </c>
    </row>
    <row r="38" spans="1:11" x14ac:dyDescent="0.2">
      <c r="A38" s="19"/>
      <c r="B38" s="33"/>
      <c r="C38" s="29" t="s">
        <v>25</v>
      </c>
      <c r="D38" s="30">
        <v>135</v>
      </c>
      <c r="E38" s="30">
        <v>135290</v>
      </c>
      <c r="F38" s="30"/>
      <c r="G38" s="30">
        <v>108</v>
      </c>
      <c r="H38" s="31">
        <v>77621</v>
      </c>
      <c r="I38" s="19"/>
      <c r="J38" s="32">
        <f t="shared" si="0"/>
        <v>243</v>
      </c>
      <c r="K38" s="32">
        <f>+E38+H38</f>
        <v>212911</v>
      </c>
    </row>
    <row r="39" spans="1:11" x14ac:dyDescent="0.2">
      <c r="A39" s="19"/>
      <c r="B39" s="33"/>
      <c r="C39" s="34"/>
      <c r="D39" s="30"/>
      <c r="E39" s="30"/>
      <c r="F39" s="30"/>
      <c r="G39" s="30"/>
      <c r="H39" s="31"/>
      <c r="I39" s="19"/>
      <c r="J39" s="32"/>
      <c r="K39" s="32"/>
    </row>
    <row r="40" spans="1:11" x14ac:dyDescent="0.2">
      <c r="A40" s="19"/>
      <c r="B40" s="28" t="s">
        <v>32</v>
      </c>
      <c r="C40" s="37" t="s">
        <v>12</v>
      </c>
      <c r="D40" s="38">
        <f>SUM(D41:D42)</f>
        <v>684</v>
      </c>
      <c r="E40" s="38">
        <f>SUM(E41:E42)</f>
        <v>531238</v>
      </c>
      <c r="G40" s="38">
        <f>SUM(G41:G42)</f>
        <v>604</v>
      </c>
      <c r="H40" s="39">
        <f>SUM(H41:H42)</f>
        <v>283461</v>
      </c>
      <c r="I40" s="19"/>
      <c r="J40" s="32">
        <f t="shared" si="0"/>
        <v>1288</v>
      </c>
      <c r="K40" s="32">
        <f>+E40+H40</f>
        <v>814699</v>
      </c>
    </row>
    <row r="41" spans="1:11" x14ac:dyDescent="0.2">
      <c r="A41" s="19"/>
      <c r="B41" s="33"/>
      <c r="C41" s="29" t="s">
        <v>23</v>
      </c>
      <c r="D41" s="30">
        <v>425</v>
      </c>
      <c r="E41" s="30">
        <v>330540</v>
      </c>
      <c r="F41" s="30"/>
      <c r="G41" s="30">
        <v>390</v>
      </c>
      <c r="H41" s="31">
        <v>178977</v>
      </c>
      <c r="I41" s="19"/>
      <c r="J41" s="32">
        <f t="shared" si="0"/>
        <v>815</v>
      </c>
      <c r="K41" s="32">
        <f>+E41+H41</f>
        <v>509517</v>
      </c>
    </row>
    <row r="42" spans="1:11" x14ac:dyDescent="0.2">
      <c r="A42" s="19"/>
      <c r="B42" s="33"/>
      <c r="C42" s="29" t="s">
        <v>24</v>
      </c>
      <c r="D42" s="30">
        <v>259</v>
      </c>
      <c r="E42" s="30">
        <v>200698</v>
      </c>
      <c r="F42" s="30"/>
      <c r="G42" s="30">
        <v>214</v>
      </c>
      <c r="H42" s="31">
        <v>104484</v>
      </c>
      <c r="I42" s="19"/>
      <c r="J42" s="32">
        <f t="shared" si="0"/>
        <v>473</v>
      </c>
      <c r="K42" s="32">
        <f>+E42+H42</f>
        <v>305182</v>
      </c>
    </row>
    <row r="43" spans="1:11" x14ac:dyDescent="0.2">
      <c r="A43" s="19"/>
      <c r="B43" s="33"/>
      <c r="C43" s="29"/>
      <c r="D43" s="30"/>
      <c r="E43" s="30"/>
      <c r="F43" s="30"/>
      <c r="G43" s="30"/>
      <c r="H43" s="31"/>
      <c r="I43" s="19"/>
      <c r="J43" s="32"/>
      <c r="K43" s="32"/>
    </row>
    <row r="44" spans="1:11" x14ac:dyDescent="0.2">
      <c r="A44" s="19"/>
      <c r="B44" s="28" t="s">
        <v>33</v>
      </c>
      <c r="C44" s="29" t="s">
        <v>34</v>
      </c>
      <c r="D44" s="40">
        <v>12</v>
      </c>
      <c r="E44" s="40">
        <v>27275</v>
      </c>
      <c r="F44" s="40"/>
      <c r="G44" s="40">
        <v>12</v>
      </c>
      <c r="H44" s="41">
        <v>21055</v>
      </c>
      <c r="I44" s="19"/>
      <c r="J44" s="32">
        <f>+D44+G44</f>
        <v>24</v>
      </c>
      <c r="K44" s="32">
        <f>+E44+H44</f>
        <v>48330</v>
      </c>
    </row>
    <row r="45" spans="1:11" x14ac:dyDescent="0.2">
      <c r="A45" s="19"/>
      <c r="B45" s="9"/>
      <c r="C45" s="10"/>
      <c r="D45" s="46"/>
      <c r="E45" s="46"/>
      <c r="F45" s="46"/>
      <c r="G45" s="46"/>
      <c r="H45" s="47"/>
      <c r="I45" s="27"/>
      <c r="K45" s="48"/>
    </row>
    <row r="46" spans="1:11" x14ac:dyDescent="0.2">
      <c r="A46" s="19"/>
      <c r="B46" s="28" t="s">
        <v>35</v>
      </c>
      <c r="D46" s="38">
        <f>D40+D44+D36+D32+D20+D18+D16+D11+D9+D28</f>
        <v>9786</v>
      </c>
      <c r="E46" s="38">
        <f>E40+E44+E36+E32+E20+E18+E16+E11+E9+E28</f>
        <v>11510267</v>
      </c>
      <c r="F46" s="38"/>
      <c r="G46" s="38">
        <f>G40+G44+G36+G32+G20+G18+G16+G11+G9+G28</f>
        <v>7390</v>
      </c>
      <c r="H46" s="39">
        <f>H40+H44+H36+H32+H20+H18+H16+H11+H9+H28</f>
        <v>4758325</v>
      </c>
      <c r="I46" s="19"/>
    </row>
    <row r="47" spans="1:11" x14ac:dyDescent="0.2">
      <c r="A47" s="19"/>
      <c r="B47" s="49" t="s">
        <v>36</v>
      </c>
      <c r="D47" s="38"/>
      <c r="E47" s="38">
        <f>E46*K47</f>
        <v>199323869.15234998</v>
      </c>
      <c r="F47" s="38"/>
      <c r="G47" s="38"/>
      <c r="H47" s="39">
        <f>H46*K47</f>
        <v>82400151.941249996</v>
      </c>
      <c r="I47" s="19"/>
      <c r="J47" s="50" t="s">
        <v>74</v>
      </c>
      <c r="K47" s="51">
        <v>17.317049999999998</v>
      </c>
    </row>
    <row r="48" spans="1:11" x14ac:dyDescent="0.2">
      <c r="B48" s="24"/>
      <c r="C48" s="25"/>
      <c r="D48" s="52"/>
      <c r="E48" s="52"/>
      <c r="F48" s="52"/>
      <c r="G48" s="52"/>
      <c r="H48" s="53"/>
      <c r="I48" s="19"/>
    </row>
    <row r="51" spans="1:6" x14ac:dyDescent="0.2">
      <c r="B51" s="4" t="s">
        <v>40</v>
      </c>
    </row>
    <row r="52" spans="1:6" x14ac:dyDescent="0.2">
      <c r="B52" s="6" t="str">
        <f>'[4]A RESERVAS 528'!$B$4</f>
        <v xml:space="preserve">     (al 31 de diciembre de 2004, montos expresados en U.F.)</v>
      </c>
    </row>
    <row r="53" spans="1:6" x14ac:dyDescent="0.2">
      <c r="A53" s="19"/>
      <c r="B53" s="9"/>
      <c r="C53" s="10"/>
      <c r="D53" s="10"/>
      <c r="E53" s="11"/>
      <c r="F53" s="27"/>
    </row>
    <row r="54" spans="1:6" x14ac:dyDescent="0.2">
      <c r="A54" s="27"/>
      <c r="B54" s="20"/>
      <c r="D54" s="17" t="s">
        <v>41</v>
      </c>
      <c r="E54" s="54"/>
      <c r="F54" s="19"/>
    </row>
    <row r="55" spans="1:6" x14ac:dyDescent="0.2">
      <c r="A55" s="19"/>
      <c r="B55" s="12" t="s">
        <v>3</v>
      </c>
      <c r="C55" s="13" t="s">
        <v>4</v>
      </c>
      <c r="D55" s="136" t="s">
        <v>70</v>
      </c>
      <c r="E55" s="137"/>
      <c r="F55" s="19"/>
    </row>
    <row r="56" spans="1:6" x14ac:dyDescent="0.2">
      <c r="A56" s="19"/>
      <c r="B56" s="56"/>
      <c r="C56" s="57"/>
      <c r="D56" s="21" t="s">
        <v>43</v>
      </c>
      <c r="E56" s="23" t="s">
        <v>44</v>
      </c>
      <c r="F56" s="19"/>
    </row>
    <row r="57" spans="1:6" x14ac:dyDescent="0.2">
      <c r="A57" s="19"/>
      <c r="B57" s="24"/>
      <c r="C57" s="25"/>
      <c r="D57" s="25"/>
      <c r="E57" s="26"/>
      <c r="F57" s="27"/>
    </row>
    <row r="58" spans="1:6" x14ac:dyDescent="0.2">
      <c r="A58" s="19"/>
      <c r="B58" s="28" t="s">
        <v>9</v>
      </c>
      <c r="C58" s="29" t="s">
        <v>10</v>
      </c>
      <c r="D58" s="35">
        <v>1</v>
      </c>
      <c r="E58" s="36">
        <v>386</v>
      </c>
      <c r="F58" s="19"/>
    </row>
    <row r="59" spans="1:6" x14ac:dyDescent="0.2">
      <c r="A59" s="19"/>
      <c r="B59" s="33"/>
      <c r="D59" s="30"/>
      <c r="E59" s="31"/>
      <c r="F59" s="19"/>
    </row>
    <row r="60" spans="1:6" x14ac:dyDescent="0.2">
      <c r="A60" s="19"/>
      <c r="B60" s="42" t="s">
        <v>27</v>
      </c>
      <c r="C60" s="29" t="s">
        <v>28</v>
      </c>
      <c r="D60" s="30">
        <v>17</v>
      </c>
      <c r="E60" s="31">
        <v>1844</v>
      </c>
      <c r="F60" s="19"/>
    </row>
    <row r="61" spans="1:6" x14ac:dyDescent="0.2">
      <c r="A61" s="19"/>
      <c r="B61" s="28"/>
      <c r="C61" s="29"/>
      <c r="D61" s="58"/>
      <c r="E61" s="59"/>
      <c r="F61" s="19"/>
    </row>
    <row r="62" spans="1:6" x14ac:dyDescent="0.2">
      <c r="A62" s="19"/>
      <c r="B62" s="60" t="s">
        <v>33</v>
      </c>
      <c r="C62" s="61" t="s">
        <v>21</v>
      </c>
      <c r="D62" s="62">
        <v>3</v>
      </c>
      <c r="E62" s="63">
        <v>803</v>
      </c>
      <c r="F62" s="19"/>
    </row>
    <row r="63" spans="1:6" x14ac:dyDescent="0.2">
      <c r="A63" s="19"/>
      <c r="B63" s="64"/>
      <c r="C63" s="65"/>
      <c r="D63" s="66"/>
      <c r="E63" s="67"/>
      <c r="F63" s="27"/>
    </row>
    <row r="64" spans="1:6" x14ac:dyDescent="0.2">
      <c r="A64" s="19"/>
      <c r="B64" s="28" t="s">
        <v>35</v>
      </c>
      <c r="D64" s="38">
        <f>SUM(D58:D62)</f>
        <v>21</v>
      </c>
      <c r="E64" s="39">
        <f>SUM(E58:E62)</f>
        <v>3033</v>
      </c>
      <c r="F64" s="19"/>
    </row>
    <row r="65" spans="1:15" x14ac:dyDescent="0.2">
      <c r="A65" s="19"/>
      <c r="B65" s="49" t="s">
        <v>36</v>
      </c>
      <c r="D65" s="38"/>
      <c r="E65" s="39">
        <f>E64*H65</f>
        <v>52522.612649999995</v>
      </c>
      <c r="F65" s="19"/>
      <c r="G65" s="50" t="s">
        <v>74</v>
      </c>
      <c r="H65" s="68">
        <v>17.317049999999998</v>
      </c>
    </row>
    <row r="66" spans="1:15" x14ac:dyDescent="0.2">
      <c r="A66" s="19"/>
      <c r="B66" s="24"/>
      <c r="C66" s="25"/>
      <c r="D66" s="69"/>
      <c r="E66" s="70"/>
      <c r="F66" s="27"/>
    </row>
    <row r="68" spans="1:15" x14ac:dyDescent="0.2">
      <c r="A68" s="74" t="s">
        <v>47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1:15" x14ac:dyDescent="0.2">
      <c r="A69" s="75" t="str">
        <f>'[4]A RESERVAS 528'!$B$4</f>
        <v xml:space="preserve">     (al 31 de diciembre de 2004, montos expresados en U.F.)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</row>
    <row r="70" spans="1:15" x14ac:dyDescent="0.2">
      <c r="A70" s="76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8"/>
      <c r="M70" s="79"/>
      <c r="N70" s="72"/>
      <c r="O70" s="72"/>
    </row>
    <row r="71" spans="1:15" x14ac:dyDescent="0.2">
      <c r="A71" s="80"/>
      <c r="B71" s="72"/>
      <c r="C71" s="81"/>
      <c r="D71" s="82"/>
      <c r="E71" s="82" t="s">
        <v>48</v>
      </c>
      <c r="F71" s="82"/>
      <c r="G71" s="81"/>
      <c r="H71" s="81"/>
      <c r="I71" s="72"/>
      <c r="J71" s="83" t="s">
        <v>49</v>
      </c>
      <c r="K71" s="83"/>
      <c r="L71" s="84"/>
      <c r="M71" s="85"/>
      <c r="N71" s="72"/>
      <c r="O71" s="72"/>
    </row>
    <row r="72" spans="1:15" x14ac:dyDescent="0.2">
      <c r="A72" s="86" t="s">
        <v>3</v>
      </c>
      <c r="B72" s="87" t="s">
        <v>4</v>
      </c>
      <c r="C72" s="88"/>
      <c r="D72" s="89" t="s">
        <v>50</v>
      </c>
      <c r="E72" s="88"/>
      <c r="F72" s="90"/>
      <c r="G72" s="91" t="s">
        <v>51</v>
      </c>
      <c r="H72" s="88"/>
      <c r="I72" s="72"/>
      <c r="J72" s="72"/>
      <c r="K72" s="72"/>
      <c r="L72" s="92"/>
      <c r="M72" s="85"/>
      <c r="N72" s="72"/>
      <c r="O72" s="72"/>
    </row>
    <row r="73" spans="1:15" x14ac:dyDescent="0.2">
      <c r="A73" s="80"/>
      <c r="B73" s="72"/>
      <c r="C73" s="74" t="s">
        <v>52</v>
      </c>
      <c r="D73" s="93"/>
      <c r="E73" s="94" t="s">
        <v>53</v>
      </c>
      <c r="F73" s="95"/>
      <c r="G73" s="74" t="s">
        <v>54</v>
      </c>
      <c r="H73" s="96"/>
      <c r="I73" s="96"/>
      <c r="J73" s="74" t="s">
        <v>52</v>
      </c>
      <c r="K73" s="93"/>
      <c r="L73" s="97" t="s">
        <v>53</v>
      </c>
      <c r="M73" s="85"/>
      <c r="N73" s="72"/>
      <c r="O73" s="72"/>
    </row>
    <row r="74" spans="1:15" x14ac:dyDescent="0.2">
      <c r="A74" s="80"/>
      <c r="B74" s="72"/>
      <c r="C74" s="98" t="s">
        <v>7</v>
      </c>
      <c r="D74" s="94" t="s">
        <v>8</v>
      </c>
      <c r="E74" s="98" t="s">
        <v>8</v>
      </c>
      <c r="F74" s="98"/>
      <c r="G74" s="94" t="s">
        <v>7</v>
      </c>
      <c r="H74" s="94" t="s">
        <v>55</v>
      </c>
      <c r="I74" s="94"/>
      <c r="J74" s="98" t="s">
        <v>7</v>
      </c>
      <c r="K74" s="98" t="s">
        <v>56</v>
      </c>
      <c r="L74" s="99" t="s">
        <v>8</v>
      </c>
      <c r="M74" s="85"/>
      <c r="N74" s="72"/>
      <c r="O74" s="72"/>
    </row>
    <row r="75" spans="1:15" x14ac:dyDescent="0.2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2"/>
      <c r="M75" s="79"/>
      <c r="N75" s="72"/>
      <c r="O75" s="72"/>
    </row>
    <row r="76" spans="1:15" x14ac:dyDescent="0.2">
      <c r="A76" s="103" t="s">
        <v>57</v>
      </c>
      <c r="B76" s="104" t="s">
        <v>14</v>
      </c>
      <c r="C76" s="105">
        <v>3436</v>
      </c>
      <c r="D76" s="105">
        <v>2242524</v>
      </c>
      <c r="E76" s="105">
        <v>118205</v>
      </c>
      <c r="F76" s="105"/>
      <c r="G76" s="105">
        <v>0</v>
      </c>
      <c r="H76" s="105">
        <v>0</v>
      </c>
      <c r="I76" s="105"/>
      <c r="J76" s="105">
        <v>1546</v>
      </c>
      <c r="K76" s="105">
        <v>233270</v>
      </c>
      <c r="L76" s="106">
        <v>64353</v>
      </c>
      <c r="M76" s="72">
        <f>J76+G76+C76</f>
        <v>4982</v>
      </c>
      <c r="N76" s="72">
        <f>L76+K76+H76+E76+D76</f>
        <v>2658352</v>
      </c>
      <c r="O76" s="72"/>
    </row>
    <row r="77" spans="1:15" x14ac:dyDescent="0.2">
      <c r="A77" s="10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9"/>
      <c r="M77" s="79"/>
      <c r="N77" s="72"/>
      <c r="O77" s="72"/>
    </row>
    <row r="78" spans="1:15" x14ac:dyDescent="0.2">
      <c r="A78" s="103" t="s">
        <v>58</v>
      </c>
      <c r="B78" s="110" t="s">
        <v>12</v>
      </c>
      <c r="C78" s="111">
        <f>SUM(C79:C81)</f>
        <v>2</v>
      </c>
      <c r="D78" s="111">
        <f>SUM(D79:D81)</f>
        <v>6</v>
      </c>
      <c r="E78" s="111">
        <f>SUM(E79:E81)</f>
        <v>0</v>
      </c>
      <c r="F78" s="111"/>
      <c r="G78" s="111">
        <f>SUM(G79:G81)</f>
        <v>5</v>
      </c>
      <c r="H78" s="111">
        <f>SUM(H79:H81)</f>
        <v>913</v>
      </c>
      <c r="I78" s="111"/>
      <c r="J78" s="111">
        <f>SUM(J79:J81)</f>
        <v>13</v>
      </c>
      <c r="K78" s="111">
        <f>SUM(K79:K81)</f>
        <v>866</v>
      </c>
      <c r="L78" s="112">
        <f>SUM(L79:L81)</f>
        <v>0</v>
      </c>
      <c r="M78" s="72">
        <f>J78+G78+C78</f>
        <v>20</v>
      </c>
      <c r="N78" s="72">
        <f>L78+K78+H78+E78+D78</f>
        <v>1785</v>
      </c>
      <c r="O78" s="72"/>
    </row>
    <row r="79" spans="1:15" x14ac:dyDescent="0.2">
      <c r="A79" s="113"/>
      <c r="B79" s="104" t="s">
        <v>30</v>
      </c>
      <c r="C79" s="114">
        <v>0</v>
      </c>
      <c r="D79" s="114">
        <v>0</v>
      </c>
      <c r="E79" s="114">
        <v>0</v>
      </c>
      <c r="F79" s="114"/>
      <c r="G79" s="114">
        <v>1</v>
      </c>
      <c r="H79" s="114">
        <v>69</v>
      </c>
      <c r="I79" s="114"/>
      <c r="J79" s="114">
        <v>1</v>
      </c>
      <c r="K79" s="114">
        <v>229</v>
      </c>
      <c r="L79" s="115">
        <v>0</v>
      </c>
      <c r="M79" s="72">
        <f t="shared" ref="M79:M114" si="1">J79+G79+C79</f>
        <v>2</v>
      </c>
      <c r="N79" s="72">
        <f t="shared" ref="N79:N114" si="2">L79+K79+H79+E79+D79</f>
        <v>298</v>
      </c>
      <c r="O79" s="72"/>
    </row>
    <row r="80" spans="1:15" x14ac:dyDescent="0.2">
      <c r="A80" s="113"/>
      <c r="B80" s="104" t="s">
        <v>24</v>
      </c>
      <c r="C80" s="114">
        <v>2</v>
      </c>
      <c r="D80" s="114">
        <v>6</v>
      </c>
      <c r="E80" s="114">
        <v>0</v>
      </c>
      <c r="F80" s="114"/>
      <c r="G80" s="114">
        <v>3</v>
      </c>
      <c r="H80" s="114">
        <v>819</v>
      </c>
      <c r="I80" s="114"/>
      <c r="J80" s="114">
        <v>3</v>
      </c>
      <c r="K80" s="114">
        <v>158</v>
      </c>
      <c r="L80" s="115">
        <v>0</v>
      </c>
      <c r="M80" s="72">
        <f t="shared" si="1"/>
        <v>8</v>
      </c>
      <c r="N80" s="72">
        <f t="shared" si="2"/>
        <v>983</v>
      </c>
      <c r="O80" s="72"/>
    </row>
    <row r="81" spans="1:15" x14ac:dyDescent="0.2">
      <c r="A81" s="113"/>
      <c r="B81" s="116" t="s">
        <v>34</v>
      </c>
      <c r="C81" s="114">
        <v>0</v>
      </c>
      <c r="D81" s="114">
        <v>0</v>
      </c>
      <c r="E81" s="114">
        <v>0</v>
      </c>
      <c r="F81" s="114"/>
      <c r="G81" s="114">
        <v>1</v>
      </c>
      <c r="H81" s="114">
        <v>25</v>
      </c>
      <c r="I81" s="114"/>
      <c r="J81" s="114">
        <v>9</v>
      </c>
      <c r="K81" s="114">
        <v>479</v>
      </c>
      <c r="L81" s="115">
        <v>0</v>
      </c>
      <c r="M81" s="72">
        <f t="shared" si="1"/>
        <v>10</v>
      </c>
      <c r="N81" s="72">
        <f t="shared" si="2"/>
        <v>504</v>
      </c>
      <c r="O81" s="72"/>
    </row>
    <row r="82" spans="1:15" x14ac:dyDescent="0.2">
      <c r="A82" s="113"/>
      <c r="B82" s="116"/>
      <c r="C82" s="114"/>
      <c r="D82" s="114"/>
      <c r="E82" s="114"/>
      <c r="F82" s="114"/>
      <c r="G82" s="114"/>
      <c r="H82" s="114"/>
      <c r="I82" s="114"/>
      <c r="J82" s="114"/>
      <c r="K82" s="114"/>
      <c r="L82" s="115"/>
      <c r="M82" s="72"/>
      <c r="N82" s="72"/>
      <c r="O82" s="72"/>
    </row>
    <row r="83" spans="1:15" x14ac:dyDescent="0.2">
      <c r="A83" s="103" t="s">
        <v>11</v>
      </c>
      <c r="B83" s="110" t="s">
        <v>59</v>
      </c>
      <c r="C83" s="111">
        <f>SUM(C84:C88)</f>
        <v>138</v>
      </c>
      <c r="D83" s="111">
        <f>SUM(D84:D88)</f>
        <v>18206</v>
      </c>
      <c r="E83" s="111">
        <f>SUM(E84:E88)</f>
        <v>0</v>
      </c>
      <c r="F83" s="111"/>
      <c r="G83" s="111">
        <f>SUM(G84:G88)</f>
        <v>4</v>
      </c>
      <c r="H83" s="111">
        <f>SUM(H84:H88)</f>
        <v>113</v>
      </c>
      <c r="I83" s="111"/>
      <c r="J83" s="111">
        <f>SUM(J84:J88)</f>
        <v>21</v>
      </c>
      <c r="K83" s="111">
        <f>SUM(K84:K88)</f>
        <v>6666</v>
      </c>
      <c r="L83" s="112">
        <f>SUM(L84:L88)</f>
        <v>0</v>
      </c>
      <c r="M83" s="72">
        <f t="shared" si="1"/>
        <v>163</v>
      </c>
      <c r="N83" s="72">
        <f t="shared" si="2"/>
        <v>24985</v>
      </c>
      <c r="O83" s="72"/>
    </row>
    <row r="84" spans="1:15" x14ac:dyDescent="0.2">
      <c r="A84" s="113"/>
      <c r="B84" s="104" t="s">
        <v>60</v>
      </c>
      <c r="C84" s="114">
        <v>1</v>
      </c>
      <c r="D84" s="117">
        <v>0</v>
      </c>
      <c r="E84" s="114">
        <v>0</v>
      </c>
      <c r="F84" s="114"/>
      <c r="G84" s="114">
        <v>0</v>
      </c>
      <c r="H84" s="114">
        <v>0</v>
      </c>
      <c r="I84" s="114"/>
      <c r="J84" s="114">
        <v>0</v>
      </c>
      <c r="K84" s="114">
        <v>0</v>
      </c>
      <c r="L84" s="115">
        <v>0</v>
      </c>
      <c r="M84" s="72">
        <f t="shared" si="1"/>
        <v>1</v>
      </c>
      <c r="N84" s="72">
        <f t="shared" si="2"/>
        <v>0</v>
      </c>
      <c r="O84" s="72"/>
    </row>
    <row r="85" spans="1:15" x14ac:dyDescent="0.2">
      <c r="A85" s="113"/>
      <c r="B85" s="104" t="s">
        <v>61</v>
      </c>
      <c r="C85" s="114">
        <v>4</v>
      </c>
      <c r="D85" s="114">
        <v>0</v>
      </c>
      <c r="E85" s="114">
        <v>0</v>
      </c>
      <c r="F85" s="114"/>
      <c r="G85" s="114">
        <v>0</v>
      </c>
      <c r="H85" s="114">
        <v>0</v>
      </c>
      <c r="I85" s="114"/>
      <c r="J85" s="114">
        <v>1</v>
      </c>
      <c r="K85" s="114">
        <v>712</v>
      </c>
      <c r="L85" s="115">
        <v>0</v>
      </c>
      <c r="M85" s="72">
        <f t="shared" si="1"/>
        <v>5</v>
      </c>
      <c r="N85" s="72">
        <f t="shared" si="2"/>
        <v>712</v>
      </c>
      <c r="O85" s="72"/>
    </row>
    <row r="86" spans="1:15" x14ac:dyDescent="0.2">
      <c r="A86" s="113"/>
      <c r="B86" s="104" t="s">
        <v>22</v>
      </c>
      <c r="C86" s="114">
        <v>46</v>
      </c>
      <c r="D86" s="114">
        <v>1842</v>
      </c>
      <c r="E86" s="114">
        <v>0</v>
      </c>
      <c r="F86" s="114"/>
      <c r="G86" s="114">
        <v>0</v>
      </c>
      <c r="H86" s="114">
        <v>0</v>
      </c>
      <c r="I86" s="114"/>
      <c r="J86" s="114">
        <v>4</v>
      </c>
      <c r="K86" s="114">
        <v>2719</v>
      </c>
      <c r="L86" s="115">
        <v>0</v>
      </c>
      <c r="M86" s="72">
        <f t="shared" si="1"/>
        <v>50</v>
      </c>
      <c r="N86" s="72">
        <f t="shared" si="2"/>
        <v>4561</v>
      </c>
      <c r="O86" s="72"/>
    </row>
    <row r="87" spans="1:15" x14ac:dyDescent="0.2">
      <c r="A87" s="113"/>
      <c r="B87" s="104" t="s">
        <v>34</v>
      </c>
      <c r="C87" s="114">
        <v>5</v>
      </c>
      <c r="D87" s="114">
        <v>0</v>
      </c>
      <c r="E87" s="114">
        <v>0</v>
      </c>
      <c r="F87" s="114"/>
      <c r="G87" s="114">
        <v>1</v>
      </c>
      <c r="H87" s="114">
        <v>0</v>
      </c>
      <c r="I87" s="114"/>
      <c r="J87" s="114">
        <v>0</v>
      </c>
      <c r="K87" s="114">
        <v>0</v>
      </c>
      <c r="L87" s="115">
        <v>0</v>
      </c>
      <c r="M87" s="72">
        <f>J87+G87+C87</f>
        <v>6</v>
      </c>
      <c r="N87" s="72">
        <f>L87+K87+H87+E87+D87</f>
        <v>0</v>
      </c>
      <c r="O87" s="72"/>
    </row>
    <row r="88" spans="1:15" x14ac:dyDescent="0.2">
      <c r="A88" s="113"/>
      <c r="B88" s="104" t="s">
        <v>28</v>
      </c>
      <c r="C88" s="114">
        <v>82</v>
      </c>
      <c r="D88" s="114">
        <v>16364</v>
      </c>
      <c r="E88" s="114">
        <v>0</v>
      </c>
      <c r="F88" s="114"/>
      <c r="G88" s="114">
        <v>3</v>
      </c>
      <c r="H88" s="114">
        <v>113</v>
      </c>
      <c r="I88" s="114"/>
      <c r="J88" s="114">
        <v>16</v>
      </c>
      <c r="K88" s="114">
        <v>3235</v>
      </c>
      <c r="L88" s="115">
        <v>0</v>
      </c>
      <c r="M88" s="72">
        <f t="shared" si="1"/>
        <v>101</v>
      </c>
      <c r="N88" s="72">
        <f t="shared" si="2"/>
        <v>19712</v>
      </c>
      <c r="O88" s="72"/>
    </row>
    <row r="89" spans="1:15" x14ac:dyDescent="0.2">
      <c r="A89" s="113"/>
      <c r="B89" s="104"/>
      <c r="C89" s="114"/>
      <c r="D89" s="114"/>
      <c r="E89" s="114"/>
      <c r="F89" s="114"/>
      <c r="G89" s="114"/>
      <c r="H89" s="114"/>
      <c r="I89" s="114"/>
      <c r="J89" s="114"/>
      <c r="K89" s="114"/>
      <c r="L89" s="115"/>
      <c r="M89" s="72"/>
      <c r="N89" s="72"/>
      <c r="O89" s="72"/>
    </row>
    <row r="90" spans="1:15" x14ac:dyDescent="0.2">
      <c r="A90" s="103" t="s">
        <v>16</v>
      </c>
      <c r="B90" s="110" t="s">
        <v>12</v>
      </c>
      <c r="C90" s="111">
        <f>SUM(C91:C92)</f>
        <v>3790</v>
      </c>
      <c r="D90" s="111">
        <f>SUM(D91:D92)</f>
        <v>3171765</v>
      </c>
      <c r="E90" s="111">
        <f>SUM(E91:E92)</f>
        <v>97349</v>
      </c>
      <c r="F90" s="111"/>
      <c r="G90" s="111">
        <f>SUM(G91:G92)</f>
        <v>32</v>
      </c>
      <c r="H90" s="111">
        <f>SUM(H91:H92)</f>
        <v>19756</v>
      </c>
      <c r="I90" s="111"/>
      <c r="J90" s="111">
        <f>SUM(J91:J92)</f>
        <v>104</v>
      </c>
      <c r="K90" s="111">
        <f>SUM(K91:K92)</f>
        <v>34989</v>
      </c>
      <c r="L90" s="112">
        <f>SUM(L91:L92)</f>
        <v>47070</v>
      </c>
      <c r="M90" s="72">
        <f t="shared" si="1"/>
        <v>3926</v>
      </c>
      <c r="N90" s="72">
        <f t="shared" si="2"/>
        <v>3370929</v>
      </c>
      <c r="O90" s="72"/>
    </row>
    <row r="91" spans="1:15" x14ac:dyDescent="0.2">
      <c r="A91" s="113"/>
      <c r="B91" s="104" t="s">
        <v>17</v>
      </c>
      <c r="C91" s="114">
        <v>3694</v>
      </c>
      <c r="D91" s="114">
        <v>3093059</v>
      </c>
      <c r="E91" s="114">
        <v>97349</v>
      </c>
      <c r="F91" s="114"/>
      <c r="G91" s="114">
        <v>30</v>
      </c>
      <c r="H91" s="114">
        <v>18251</v>
      </c>
      <c r="I91" s="114"/>
      <c r="J91" s="114">
        <v>104</v>
      </c>
      <c r="K91" s="114">
        <v>34989</v>
      </c>
      <c r="L91" s="115">
        <v>47070</v>
      </c>
      <c r="M91" s="72">
        <f t="shared" si="1"/>
        <v>3828</v>
      </c>
      <c r="N91" s="72">
        <f t="shared" si="2"/>
        <v>3290718</v>
      </c>
      <c r="O91" s="72"/>
    </row>
    <row r="92" spans="1:15" x14ac:dyDescent="0.2">
      <c r="A92" s="113"/>
      <c r="B92" s="118" t="s">
        <v>30</v>
      </c>
      <c r="C92" s="119">
        <v>96</v>
      </c>
      <c r="D92" s="119">
        <v>78706</v>
      </c>
      <c r="E92" s="119">
        <v>0</v>
      </c>
      <c r="F92" s="119"/>
      <c r="G92" s="119">
        <v>2</v>
      </c>
      <c r="H92" s="119">
        <v>1505</v>
      </c>
      <c r="I92" s="119"/>
      <c r="J92" s="119">
        <v>0</v>
      </c>
      <c r="K92" s="119">
        <v>0</v>
      </c>
      <c r="L92" s="120">
        <v>0</v>
      </c>
      <c r="M92" s="72">
        <f>J92+G92+C92</f>
        <v>98</v>
      </c>
      <c r="N92" s="72">
        <f>L92+K92+H92+E92+D92</f>
        <v>80211</v>
      </c>
      <c r="O92" s="72"/>
    </row>
    <row r="93" spans="1:15" x14ac:dyDescent="0.2">
      <c r="A93" s="113"/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20"/>
      <c r="M93" s="72"/>
      <c r="N93" s="72"/>
      <c r="O93" s="72"/>
    </row>
    <row r="94" spans="1:15" x14ac:dyDescent="0.2">
      <c r="A94" s="103" t="s">
        <v>27</v>
      </c>
      <c r="B94" s="110" t="s">
        <v>12</v>
      </c>
      <c r="C94" s="111">
        <f>SUM(C95:C100)</f>
        <v>6953</v>
      </c>
      <c r="D94" s="111">
        <f>SUM(D95:D100)</f>
        <v>5385053</v>
      </c>
      <c r="E94" s="111">
        <f>SUM(E95:E100)</f>
        <v>72819</v>
      </c>
      <c r="F94" s="111"/>
      <c r="G94" s="111">
        <f>SUM(G95:G100)</f>
        <v>116</v>
      </c>
      <c r="H94" s="111">
        <f>SUM(H95:H100)</f>
        <v>27406</v>
      </c>
      <c r="I94" s="111"/>
      <c r="J94" s="111">
        <f>SUM(J95:J100)</f>
        <v>737</v>
      </c>
      <c r="K94" s="111">
        <f>SUM(K95:K100)</f>
        <v>118267</v>
      </c>
      <c r="L94" s="112">
        <f>SUM(L95:L100)</f>
        <v>61445</v>
      </c>
      <c r="M94" s="72">
        <f t="shared" si="1"/>
        <v>7806</v>
      </c>
      <c r="N94" s="72">
        <f t="shared" si="2"/>
        <v>5664990</v>
      </c>
      <c r="O94" s="72"/>
    </row>
    <row r="95" spans="1:15" x14ac:dyDescent="0.2">
      <c r="A95" s="113"/>
      <c r="B95" s="104" t="s">
        <v>60</v>
      </c>
      <c r="C95" s="114">
        <v>1</v>
      </c>
      <c r="D95" s="119">
        <v>465</v>
      </c>
      <c r="E95" s="119">
        <v>0</v>
      </c>
      <c r="F95" s="119"/>
      <c r="G95" s="119">
        <v>0</v>
      </c>
      <c r="H95" s="119">
        <v>0</v>
      </c>
      <c r="I95" s="119"/>
      <c r="J95" s="119">
        <v>0</v>
      </c>
      <c r="K95" s="119">
        <v>0</v>
      </c>
      <c r="L95" s="115">
        <v>0</v>
      </c>
      <c r="M95" s="72">
        <f t="shared" si="1"/>
        <v>1</v>
      </c>
      <c r="N95" s="72">
        <f t="shared" si="2"/>
        <v>465</v>
      </c>
      <c r="O95" s="72"/>
    </row>
    <row r="96" spans="1:15" x14ac:dyDescent="0.2">
      <c r="A96" s="113"/>
      <c r="B96" s="116" t="s">
        <v>61</v>
      </c>
      <c r="C96" s="114">
        <v>1</v>
      </c>
      <c r="D96" s="114">
        <v>798</v>
      </c>
      <c r="E96" s="114">
        <v>0</v>
      </c>
      <c r="F96" s="114"/>
      <c r="G96" s="114">
        <v>0</v>
      </c>
      <c r="H96" s="114">
        <v>0</v>
      </c>
      <c r="I96" s="114"/>
      <c r="J96" s="114">
        <v>0</v>
      </c>
      <c r="K96" s="114">
        <v>0</v>
      </c>
      <c r="L96" s="115">
        <v>0</v>
      </c>
      <c r="M96" s="72">
        <f t="shared" si="1"/>
        <v>1</v>
      </c>
      <c r="N96" s="72">
        <f t="shared" si="2"/>
        <v>798</v>
      </c>
      <c r="O96" s="72"/>
    </row>
    <row r="97" spans="1:15" x14ac:dyDescent="0.2">
      <c r="A97" s="113"/>
      <c r="B97" s="104" t="s">
        <v>30</v>
      </c>
      <c r="C97" s="114">
        <f>13+158</f>
        <v>171</v>
      </c>
      <c r="D97" s="114">
        <f>12335+144153</f>
        <v>156488</v>
      </c>
      <c r="E97" s="114">
        <v>0</v>
      </c>
      <c r="F97" s="114"/>
      <c r="G97" s="114">
        <v>0</v>
      </c>
      <c r="H97" s="114">
        <v>0</v>
      </c>
      <c r="I97" s="114"/>
      <c r="J97" s="114">
        <v>6</v>
      </c>
      <c r="K97" s="114">
        <v>4229</v>
      </c>
      <c r="L97" s="115">
        <v>1083</v>
      </c>
      <c r="M97" s="72">
        <f>J97+G97+C97</f>
        <v>177</v>
      </c>
      <c r="N97" s="72">
        <f>L97+K97+H97+E97+D97</f>
        <v>161800</v>
      </c>
      <c r="O97" s="72"/>
    </row>
    <row r="98" spans="1:15" x14ac:dyDescent="0.2">
      <c r="A98" s="113"/>
      <c r="B98" s="104" t="s">
        <v>24</v>
      </c>
      <c r="C98" s="114">
        <v>343</v>
      </c>
      <c r="D98" s="114">
        <v>85882</v>
      </c>
      <c r="E98" s="114">
        <v>5790</v>
      </c>
      <c r="F98" s="114"/>
      <c r="G98" s="114">
        <v>1</v>
      </c>
      <c r="H98" s="114">
        <v>113</v>
      </c>
      <c r="I98" s="114"/>
      <c r="J98" s="114">
        <v>52</v>
      </c>
      <c r="K98" s="114">
        <v>6511</v>
      </c>
      <c r="L98" s="115">
        <v>9536</v>
      </c>
      <c r="M98" s="72">
        <f>J98+G98+C98</f>
        <v>396</v>
      </c>
      <c r="N98" s="72">
        <f>L98+K98+H98+E98+D98</f>
        <v>107832</v>
      </c>
      <c r="O98" s="72"/>
    </row>
    <row r="99" spans="1:15" x14ac:dyDescent="0.2">
      <c r="A99" s="113"/>
      <c r="B99" s="116" t="s">
        <v>14</v>
      </c>
      <c r="C99" s="114">
        <v>4140</v>
      </c>
      <c r="D99" s="119">
        <v>3181622</v>
      </c>
      <c r="E99" s="119">
        <v>0</v>
      </c>
      <c r="F99" s="119"/>
      <c r="G99" s="119">
        <v>73</v>
      </c>
      <c r="H99" s="119">
        <v>20426</v>
      </c>
      <c r="I99" s="119"/>
      <c r="J99" s="119">
        <v>215</v>
      </c>
      <c r="K99" s="119">
        <v>31386</v>
      </c>
      <c r="L99" s="115">
        <v>0</v>
      </c>
      <c r="M99" s="72">
        <f t="shared" si="1"/>
        <v>4428</v>
      </c>
      <c r="N99" s="72">
        <f t="shared" si="2"/>
        <v>3233434</v>
      </c>
      <c r="O99" s="72"/>
    </row>
    <row r="100" spans="1:15" x14ac:dyDescent="0.2">
      <c r="A100" s="113"/>
      <c r="B100" s="104" t="s">
        <v>28</v>
      </c>
      <c r="C100" s="114">
        <v>2297</v>
      </c>
      <c r="D100" s="119">
        <v>1959798</v>
      </c>
      <c r="E100" s="119">
        <v>67029</v>
      </c>
      <c r="F100" s="119"/>
      <c r="G100" s="119">
        <v>42</v>
      </c>
      <c r="H100" s="119">
        <v>6867</v>
      </c>
      <c r="I100" s="119"/>
      <c r="J100" s="119">
        <v>464</v>
      </c>
      <c r="K100" s="119">
        <v>76141</v>
      </c>
      <c r="L100" s="115">
        <v>50826</v>
      </c>
      <c r="M100" s="72">
        <f t="shared" si="1"/>
        <v>2803</v>
      </c>
      <c r="N100" s="72">
        <f t="shared" si="2"/>
        <v>2160661</v>
      </c>
      <c r="O100" s="72"/>
    </row>
    <row r="101" spans="1:15" x14ac:dyDescent="0.2">
      <c r="A101" s="122"/>
      <c r="B101" s="104"/>
      <c r="C101" s="105"/>
      <c r="D101" s="105"/>
      <c r="E101" s="105"/>
      <c r="F101" s="105"/>
      <c r="G101" s="105"/>
      <c r="H101" s="105"/>
      <c r="I101" s="105"/>
      <c r="J101" s="105"/>
      <c r="K101" s="105"/>
      <c r="L101" s="106"/>
      <c r="M101" s="72"/>
      <c r="N101" s="72"/>
      <c r="O101" s="72"/>
    </row>
    <row r="102" spans="1:15" x14ac:dyDescent="0.2">
      <c r="A102" s="103" t="s">
        <v>64</v>
      </c>
      <c r="B102" s="104" t="s">
        <v>19</v>
      </c>
      <c r="C102" s="105">
        <f>4+78</f>
        <v>82</v>
      </c>
      <c r="D102" s="105">
        <f>2214+95647</f>
        <v>97861</v>
      </c>
      <c r="E102" s="105">
        <v>0</v>
      </c>
      <c r="F102" s="105"/>
      <c r="G102" s="105">
        <f>6+5</f>
        <v>11</v>
      </c>
      <c r="H102" s="105">
        <v>41</v>
      </c>
      <c r="I102" s="105"/>
      <c r="J102" s="123">
        <f>1+1</f>
        <v>2</v>
      </c>
      <c r="K102" s="105">
        <f>230+243</f>
        <v>473</v>
      </c>
      <c r="L102" s="106">
        <v>0</v>
      </c>
      <c r="M102" s="72">
        <f>J102+G102+C102</f>
        <v>95</v>
      </c>
      <c r="N102" s="72">
        <f>L102+K102+H102+E102+D102</f>
        <v>98375</v>
      </c>
      <c r="O102" s="72"/>
    </row>
    <row r="103" spans="1:15" x14ac:dyDescent="0.2">
      <c r="A103" s="113"/>
      <c r="B103" s="118"/>
      <c r="C103" s="105"/>
      <c r="D103" s="105"/>
      <c r="E103" s="105"/>
      <c r="F103" s="105"/>
      <c r="G103" s="105"/>
      <c r="H103" s="105"/>
      <c r="I103" s="105"/>
      <c r="J103" s="105"/>
      <c r="K103" s="105"/>
      <c r="L103" s="106"/>
      <c r="M103" s="72"/>
      <c r="N103" s="72"/>
      <c r="O103" s="72"/>
    </row>
    <row r="104" spans="1:15" x14ac:dyDescent="0.2">
      <c r="A104" s="103" t="s">
        <v>31</v>
      </c>
      <c r="B104" s="104" t="s">
        <v>22</v>
      </c>
      <c r="C104" s="105">
        <v>1197</v>
      </c>
      <c r="D104" s="105">
        <v>1876075</v>
      </c>
      <c r="E104" s="105">
        <v>65772</v>
      </c>
      <c r="F104" s="105"/>
      <c r="G104" s="105">
        <v>16</v>
      </c>
      <c r="H104" s="105">
        <v>17131</v>
      </c>
      <c r="I104" s="105"/>
      <c r="J104" s="105">
        <v>36</v>
      </c>
      <c r="K104" s="105">
        <f>24574+1592</f>
        <v>26166</v>
      </c>
      <c r="L104" s="106">
        <v>73173</v>
      </c>
      <c r="M104" s="72">
        <f>J104+G104+C104</f>
        <v>1249</v>
      </c>
      <c r="N104" s="72">
        <f>L104+K104+H104+E104+D104</f>
        <v>2058317</v>
      </c>
      <c r="O104" s="72"/>
    </row>
    <row r="105" spans="1:15" x14ac:dyDescent="0.2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92"/>
      <c r="M105" s="72"/>
      <c r="N105" s="72"/>
      <c r="O105" s="72"/>
    </row>
    <row r="106" spans="1:15" x14ac:dyDescent="0.2">
      <c r="A106" s="103" t="s">
        <v>65</v>
      </c>
      <c r="B106" s="104" t="s">
        <v>19</v>
      </c>
      <c r="C106" s="105">
        <v>1</v>
      </c>
      <c r="D106" s="105">
        <v>81</v>
      </c>
      <c r="E106" s="105">
        <v>0</v>
      </c>
      <c r="F106" s="105"/>
      <c r="G106" s="105">
        <v>0</v>
      </c>
      <c r="H106" s="105">
        <v>0</v>
      </c>
      <c r="I106" s="105"/>
      <c r="J106" s="123">
        <v>0</v>
      </c>
      <c r="K106" s="105">
        <v>0</v>
      </c>
      <c r="L106" s="106">
        <v>0</v>
      </c>
      <c r="M106" s="72">
        <f t="shared" si="1"/>
        <v>1</v>
      </c>
      <c r="N106" s="72">
        <f t="shared" si="2"/>
        <v>81</v>
      </c>
      <c r="O106" s="72"/>
    </row>
    <row r="107" spans="1:15" x14ac:dyDescent="0.2">
      <c r="A107" s="113"/>
      <c r="B107" s="11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5"/>
      <c r="M107" s="72"/>
      <c r="N107" s="72"/>
      <c r="O107" s="72"/>
    </row>
    <row r="108" spans="1:15" x14ac:dyDescent="0.2">
      <c r="A108" s="103" t="s">
        <v>32</v>
      </c>
      <c r="B108" s="104" t="s">
        <v>24</v>
      </c>
      <c r="C108" s="105">
        <v>396</v>
      </c>
      <c r="D108" s="105">
        <v>200292</v>
      </c>
      <c r="E108" s="105">
        <v>0</v>
      </c>
      <c r="F108" s="105"/>
      <c r="G108" s="105">
        <v>0</v>
      </c>
      <c r="H108" s="105">
        <v>0</v>
      </c>
      <c r="I108" s="105"/>
      <c r="J108" s="105">
        <v>19</v>
      </c>
      <c r="K108" s="105">
        <v>1770</v>
      </c>
      <c r="L108" s="106">
        <v>0</v>
      </c>
      <c r="M108" s="72">
        <f t="shared" si="1"/>
        <v>415</v>
      </c>
      <c r="N108" s="72">
        <f t="shared" si="2"/>
        <v>202062</v>
      </c>
      <c r="O108" s="72"/>
    </row>
    <row r="109" spans="1:15" x14ac:dyDescent="0.2">
      <c r="A109" s="113" t="s">
        <v>66</v>
      </c>
      <c r="B109" s="11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5"/>
      <c r="M109" s="72"/>
      <c r="N109" s="72"/>
      <c r="O109" s="72"/>
    </row>
    <row r="110" spans="1:15" x14ac:dyDescent="0.2">
      <c r="A110" s="103" t="s">
        <v>33</v>
      </c>
      <c r="B110" s="104" t="s">
        <v>30</v>
      </c>
      <c r="C110" s="105">
        <v>6</v>
      </c>
      <c r="D110" s="105">
        <v>6010</v>
      </c>
      <c r="E110" s="105">
        <v>0</v>
      </c>
      <c r="F110" s="105"/>
      <c r="G110" s="105">
        <v>0</v>
      </c>
      <c r="H110" s="105">
        <v>0</v>
      </c>
      <c r="I110" s="105"/>
      <c r="J110" s="105">
        <v>0</v>
      </c>
      <c r="K110" s="105">
        <v>0</v>
      </c>
      <c r="L110" s="106">
        <v>0</v>
      </c>
      <c r="M110" s="72">
        <f>J110+G110+C110</f>
        <v>6</v>
      </c>
      <c r="N110" s="72">
        <f>L110+K110+H110+E110+D110</f>
        <v>6010</v>
      </c>
      <c r="O110" s="72"/>
    </row>
    <row r="111" spans="1:15" x14ac:dyDescent="0.2">
      <c r="A111" s="113"/>
      <c r="B111" s="11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5"/>
      <c r="M111" s="72"/>
      <c r="N111" s="72"/>
      <c r="O111" s="72"/>
    </row>
    <row r="112" spans="1:15" x14ac:dyDescent="0.2">
      <c r="A112" s="103" t="s">
        <v>67</v>
      </c>
      <c r="B112" s="110" t="s">
        <v>12</v>
      </c>
      <c r="C112" s="111">
        <f>SUM(C113:C114)</f>
        <v>1223</v>
      </c>
      <c r="D112" s="111">
        <f>SUM(D113:D114)</f>
        <v>1403443</v>
      </c>
      <c r="E112" s="111">
        <f t="shared" ref="E112:L112" si="3">SUM(E113:E114)</f>
        <v>35993</v>
      </c>
      <c r="F112" s="111"/>
      <c r="G112" s="111">
        <f t="shared" si="3"/>
        <v>7</v>
      </c>
      <c r="H112" s="111">
        <f t="shared" si="3"/>
        <v>699</v>
      </c>
      <c r="I112" s="111"/>
      <c r="J112" s="111">
        <f t="shared" si="3"/>
        <v>43</v>
      </c>
      <c r="K112" s="111">
        <f t="shared" si="3"/>
        <v>14760</v>
      </c>
      <c r="L112" s="112">
        <f t="shared" si="3"/>
        <v>20855</v>
      </c>
      <c r="M112" s="72">
        <f>J112+G112+C112</f>
        <v>1273</v>
      </c>
      <c r="N112" s="72">
        <f>L112+K112+H112+E112+D112</f>
        <v>1475750</v>
      </c>
      <c r="O112" s="72"/>
    </row>
    <row r="113" spans="1:15" x14ac:dyDescent="0.2">
      <c r="A113" s="80"/>
      <c r="B113" s="104" t="s">
        <v>34</v>
      </c>
      <c r="C113" s="114">
        <v>0</v>
      </c>
      <c r="D113" s="114">
        <v>0</v>
      </c>
      <c r="E113" s="114">
        <v>0</v>
      </c>
      <c r="F113" s="114"/>
      <c r="G113" s="114">
        <v>0</v>
      </c>
      <c r="H113" s="114">
        <v>0</v>
      </c>
      <c r="I113" s="114"/>
      <c r="J113" s="119">
        <v>1</v>
      </c>
      <c r="K113" s="114">
        <v>661</v>
      </c>
      <c r="L113" s="115">
        <v>0</v>
      </c>
      <c r="M113" s="72">
        <f t="shared" si="1"/>
        <v>1</v>
      </c>
      <c r="N113" s="72">
        <f t="shared" si="2"/>
        <v>661</v>
      </c>
      <c r="O113" s="72"/>
    </row>
    <row r="114" spans="1:15" x14ac:dyDescent="0.2">
      <c r="A114" s="124"/>
      <c r="B114" s="104" t="s">
        <v>19</v>
      </c>
      <c r="C114" s="114">
        <f>661+562</f>
        <v>1223</v>
      </c>
      <c r="D114" s="114">
        <f>835404+568039</f>
        <v>1403443</v>
      </c>
      <c r="E114" s="114">
        <v>35993</v>
      </c>
      <c r="F114" s="114"/>
      <c r="G114" s="114">
        <f>3+4</f>
        <v>7</v>
      </c>
      <c r="H114" s="114">
        <f>481+218</f>
        <v>699</v>
      </c>
      <c r="I114" s="114"/>
      <c r="J114" s="119">
        <v>42</v>
      </c>
      <c r="K114" s="114">
        <v>14099</v>
      </c>
      <c r="L114" s="125">
        <v>20855</v>
      </c>
      <c r="M114" s="72">
        <f t="shared" si="1"/>
        <v>1272</v>
      </c>
      <c r="N114" s="72">
        <f t="shared" si="2"/>
        <v>1475089</v>
      </c>
      <c r="O114" s="72"/>
    </row>
    <row r="115" spans="1:15" x14ac:dyDescent="0.2">
      <c r="A115" s="76"/>
      <c r="B115" s="77"/>
      <c r="C115" s="126"/>
      <c r="D115" s="126"/>
      <c r="E115" s="126"/>
      <c r="F115" s="126"/>
      <c r="G115" s="126"/>
      <c r="H115" s="126"/>
      <c r="I115" s="126"/>
      <c r="J115" s="126"/>
      <c r="K115" s="126"/>
      <c r="L115" s="127"/>
      <c r="M115" s="79"/>
      <c r="N115" s="72"/>
      <c r="O115" s="72"/>
    </row>
    <row r="116" spans="1:15" x14ac:dyDescent="0.2">
      <c r="A116" s="103" t="s">
        <v>35</v>
      </c>
      <c r="B116" s="72"/>
      <c r="C116" s="128">
        <f>C112+C102+C108+C106+C110+C104+C90+C83+C78+C94+C76</f>
        <v>17224</v>
      </c>
      <c r="D116" s="128">
        <f t="shared" ref="D116:L116" si="4">D112+D102+D108+D106+D110+D104+D90+D83+D78+D94+D76</f>
        <v>14401316</v>
      </c>
      <c r="E116" s="128">
        <f t="shared" si="4"/>
        <v>390138</v>
      </c>
      <c r="F116" s="128"/>
      <c r="G116" s="128">
        <f t="shared" si="4"/>
        <v>191</v>
      </c>
      <c r="H116" s="128">
        <f t="shared" si="4"/>
        <v>66059</v>
      </c>
      <c r="I116" s="128"/>
      <c r="J116" s="128">
        <f t="shared" si="4"/>
        <v>2521</v>
      </c>
      <c r="K116" s="128">
        <f t="shared" si="4"/>
        <v>437227</v>
      </c>
      <c r="L116" s="129">
        <f t="shared" si="4"/>
        <v>266896</v>
      </c>
      <c r="M116" s="85"/>
      <c r="N116" s="72"/>
      <c r="O116" s="72"/>
    </row>
    <row r="117" spans="1:15" x14ac:dyDescent="0.2">
      <c r="A117" s="130" t="s">
        <v>36</v>
      </c>
      <c r="B117" s="72"/>
      <c r="C117" s="128"/>
      <c r="D117" s="128">
        <f>D116*O117</f>
        <v>249388309.23779997</v>
      </c>
      <c r="E117" s="128">
        <f>E116*O117</f>
        <v>6756039.2528999997</v>
      </c>
      <c r="F117" s="128"/>
      <c r="G117" s="128"/>
      <c r="H117" s="128">
        <f>H116*O117</f>
        <v>1143947.0059499999</v>
      </c>
      <c r="I117" s="128"/>
      <c r="J117" s="128"/>
      <c r="K117" s="128">
        <f>K116*O117</f>
        <v>7571481.8203499997</v>
      </c>
      <c r="L117" s="129">
        <f>L116*O117</f>
        <v>4621851.3767999997</v>
      </c>
      <c r="M117" s="85"/>
      <c r="N117" s="50" t="s">
        <v>74</v>
      </c>
      <c r="O117" s="51">
        <v>17.317049999999998</v>
      </c>
    </row>
    <row r="118" spans="1:15" x14ac:dyDescent="0.2">
      <c r="A118" s="100"/>
      <c r="B118" s="10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2"/>
      <c r="M118" s="79"/>
      <c r="N118" s="72"/>
      <c r="O118" s="72"/>
    </row>
    <row r="119" spans="1:15" x14ac:dyDescent="0.2">
      <c r="B119" s="133"/>
      <c r="C119" s="133"/>
      <c r="D119" s="134"/>
      <c r="E119" s="134"/>
      <c r="F119" s="134"/>
      <c r="G119" s="133"/>
      <c r="H119" s="133"/>
      <c r="I119" s="133"/>
      <c r="J119" s="133"/>
      <c r="K119" s="133"/>
      <c r="L119" s="133"/>
      <c r="M119" s="133"/>
      <c r="N119" s="72"/>
      <c r="O119" s="72"/>
    </row>
    <row r="120" spans="1:15" x14ac:dyDescent="0.2">
      <c r="A120" s="134"/>
      <c r="B120" s="133"/>
      <c r="C120" s="133"/>
      <c r="D120" s="134"/>
      <c r="E120" s="134"/>
      <c r="F120" s="134"/>
      <c r="G120" s="133"/>
      <c r="H120" s="133"/>
      <c r="I120" s="133"/>
      <c r="J120" s="133"/>
      <c r="K120" s="133"/>
      <c r="L120" s="133"/>
      <c r="M120" s="133"/>
      <c r="N120" s="72"/>
      <c r="O120" s="72"/>
    </row>
  </sheetData>
  <mergeCells count="1">
    <mergeCell ref="D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2013-12-11T21:15:48Z</dcterms:modified>
</cp:coreProperties>
</file>