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Marzo" sheetId="1" r:id="rId1"/>
    <sheet name="Junio" sheetId="2" r:id="rId2"/>
    <sheet name="Sept" sheetId="3" r:id="rId3"/>
    <sheet name="Dic" sheetId="4" r:id="rId4"/>
  </sheets>
  <calcPr calcId="145621"/>
</workbook>
</file>

<file path=xl/calcChain.xml><?xml version="1.0" encoding="utf-8"?>
<calcChain xmlns="http://schemas.openxmlformats.org/spreadsheetml/2006/main">
  <c r="I64" i="4" l="1"/>
  <c r="K55" i="4"/>
  <c r="G55" i="4"/>
  <c r="H55" i="4" s="1"/>
  <c r="K54" i="4"/>
  <c r="G54" i="4"/>
  <c r="H54" i="4" s="1"/>
  <c r="M38" i="4"/>
  <c r="L38" i="4"/>
  <c r="J38" i="4"/>
  <c r="I38" i="4"/>
  <c r="F38" i="4"/>
  <c r="C38" i="4"/>
  <c r="K37" i="4"/>
  <c r="G37" i="4" s="1"/>
  <c r="M35" i="4"/>
  <c r="M40" i="4" s="1"/>
  <c r="L35" i="4"/>
  <c r="L40" i="4" s="1"/>
  <c r="J35" i="4"/>
  <c r="J40" i="4" s="1"/>
  <c r="I35" i="4"/>
  <c r="I40" i="4" s="1"/>
  <c r="F35" i="4"/>
  <c r="F40" i="4" s="1"/>
  <c r="C35" i="4"/>
  <c r="C40" i="4" s="1"/>
  <c r="K34" i="4"/>
  <c r="G34" i="4"/>
  <c r="H34" i="4" s="1"/>
  <c r="G33" i="4"/>
  <c r="H33" i="4" s="1"/>
  <c r="K32" i="4"/>
  <c r="G32" i="4"/>
  <c r="H32" i="4" s="1"/>
  <c r="K31" i="4"/>
  <c r="G31" i="4"/>
  <c r="H31" i="4" s="1"/>
  <c r="K30" i="4"/>
  <c r="G30" i="4" s="1"/>
  <c r="H30" i="4" s="1"/>
  <c r="K29" i="4"/>
  <c r="G29" i="4" s="1"/>
  <c r="H29" i="4" s="1"/>
  <c r="K28" i="4"/>
  <c r="G28" i="4"/>
  <c r="H28" i="4" s="1"/>
  <c r="K27" i="4"/>
  <c r="G27" i="4"/>
  <c r="H27" i="4" s="1"/>
  <c r="K26" i="4"/>
  <c r="G26" i="4" s="1"/>
  <c r="H26" i="4" s="1"/>
  <c r="K25" i="4"/>
  <c r="G25" i="4" s="1"/>
  <c r="H25" i="4" s="1"/>
  <c r="K24" i="4"/>
  <c r="G24" i="4"/>
  <c r="H24" i="4" s="1"/>
  <c r="K23" i="4"/>
  <c r="G23" i="4"/>
  <c r="H23" i="4" s="1"/>
  <c r="K22" i="4"/>
  <c r="G22" i="4" s="1"/>
  <c r="H22" i="4" s="1"/>
  <c r="K21" i="4"/>
  <c r="G21" i="4" s="1"/>
  <c r="H21" i="4" s="1"/>
  <c r="K20" i="4"/>
  <c r="G20" i="4"/>
  <c r="H20" i="4" s="1"/>
  <c r="K19" i="4"/>
  <c r="G19" i="4"/>
  <c r="H19" i="4" s="1"/>
  <c r="K18" i="4"/>
  <c r="G18" i="4" s="1"/>
  <c r="H18" i="4" s="1"/>
  <c r="K17" i="4"/>
  <c r="G17" i="4" s="1"/>
  <c r="H17" i="4" s="1"/>
  <c r="K16" i="4"/>
  <c r="G16" i="4"/>
  <c r="H16" i="4" s="1"/>
  <c r="K15" i="4"/>
  <c r="G15" i="4"/>
  <c r="H15" i="4" s="1"/>
  <c r="K14" i="4"/>
  <c r="G14" i="4" s="1"/>
  <c r="H14" i="4" s="1"/>
  <c r="K13" i="4"/>
  <c r="G13" i="4" s="1"/>
  <c r="H13" i="4" s="1"/>
  <c r="K12" i="4"/>
  <c r="H12" i="4"/>
  <c r="G12" i="4"/>
  <c r="K11" i="4"/>
  <c r="G11" i="4"/>
  <c r="H11" i="4" s="1"/>
  <c r="K10" i="4"/>
  <c r="K35" i="4" s="1"/>
  <c r="H9" i="4"/>
  <c r="G9" i="4"/>
  <c r="G8" i="4"/>
  <c r="H8" i="4" s="1"/>
  <c r="M38" i="3"/>
  <c r="L38" i="3"/>
  <c r="J38" i="3"/>
  <c r="I38" i="3"/>
  <c r="F38" i="3"/>
  <c r="C38" i="3"/>
  <c r="K37" i="3"/>
  <c r="G37" i="3" s="1"/>
  <c r="M35" i="3"/>
  <c r="M40" i="3" s="1"/>
  <c r="L35" i="3"/>
  <c r="L40" i="3" s="1"/>
  <c r="J35" i="3"/>
  <c r="J40" i="3" s="1"/>
  <c r="I35" i="3"/>
  <c r="I40" i="3" s="1"/>
  <c r="F35" i="3"/>
  <c r="F40" i="3" s="1"/>
  <c r="C35" i="3"/>
  <c r="C40" i="3" s="1"/>
  <c r="K34" i="3"/>
  <c r="G34" i="3"/>
  <c r="H34" i="3" s="1"/>
  <c r="G33" i="3"/>
  <c r="H33" i="3" s="1"/>
  <c r="K32" i="3"/>
  <c r="H32" i="3"/>
  <c r="G32" i="3"/>
  <c r="K31" i="3"/>
  <c r="G31" i="3"/>
  <c r="H31" i="3" s="1"/>
  <c r="K30" i="3"/>
  <c r="G30" i="3" s="1"/>
  <c r="H30" i="3" s="1"/>
  <c r="K29" i="3"/>
  <c r="G29" i="3" s="1"/>
  <c r="H29" i="3" s="1"/>
  <c r="K28" i="3"/>
  <c r="H28" i="3"/>
  <c r="G28" i="3"/>
  <c r="K27" i="3"/>
  <c r="G27" i="3"/>
  <c r="H27" i="3" s="1"/>
  <c r="K26" i="3"/>
  <c r="G26" i="3" s="1"/>
  <c r="H26" i="3" s="1"/>
  <c r="K25" i="3"/>
  <c r="G25" i="3" s="1"/>
  <c r="H25" i="3" s="1"/>
  <c r="K24" i="3"/>
  <c r="H24" i="3"/>
  <c r="G24" i="3"/>
  <c r="K23" i="3"/>
  <c r="G23" i="3"/>
  <c r="H23" i="3" s="1"/>
  <c r="K22" i="3"/>
  <c r="G22" i="3" s="1"/>
  <c r="H22" i="3" s="1"/>
  <c r="K21" i="3"/>
  <c r="G21" i="3" s="1"/>
  <c r="H21" i="3" s="1"/>
  <c r="K20" i="3"/>
  <c r="H20" i="3"/>
  <c r="G20" i="3"/>
  <c r="K19" i="3"/>
  <c r="G19" i="3"/>
  <c r="H19" i="3" s="1"/>
  <c r="K18" i="3"/>
  <c r="G18" i="3" s="1"/>
  <c r="H18" i="3" s="1"/>
  <c r="H17" i="3"/>
  <c r="G17" i="3"/>
  <c r="K16" i="3"/>
  <c r="G16" i="3"/>
  <c r="H16" i="3" s="1"/>
  <c r="K15" i="3"/>
  <c r="G15" i="3" s="1"/>
  <c r="H15" i="3" s="1"/>
  <c r="K14" i="3"/>
  <c r="G14" i="3" s="1"/>
  <c r="H14" i="3" s="1"/>
  <c r="K13" i="3"/>
  <c r="H13" i="3"/>
  <c r="G13" i="3"/>
  <c r="K12" i="3"/>
  <c r="G12" i="3"/>
  <c r="H12" i="3" s="1"/>
  <c r="K11" i="3"/>
  <c r="G11" i="3" s="1"/>
  <c r="H11" i="3" s="1"/>
  <c r="K10" i="3"/>
  <c r="G10" i="3" s="1"/>
  <c r="H10" i="3" s="1"/>
  <c r="G9" i="3"/>
  <c r="H9" i="3" s="1"/>
  <c r="H8" i="3"/>
  <c r="G8" i="3"/>
  <c r="G35" i="3" s="1"/>
  <c r="I64" i="2"/>
  <c r="K55" i="2"/>
  <c r="G55" i="2"/>
  <c r="H55" i="2" s="1"/>
  <c r="K54" i="2"/>
  <c r="F54" i="2"/>
  <c r="H54" i="2" s="1"/>
  <c r="M38" i="2"/>
  <c r="L38" i="2"/>
  <c r="J38" i="2"/>
  <c r="I38" i="2"/>
  <c r="F38" i="2"/>
  <c r="C38" i="2"/>
  <c r="N37" i="2"/>
  <c r="N38" i="2" s="1"/>
  <c r="K37" i="2"/>
  <c r="K38" i="2" s="1"/>
  <c r="G37" i="2"/>
  <c r="G38" i="2" s="1"/>
  <c r="M35" i="2"/>
  <c r="M40" i="2" s="1"/>
  <c r="L35" i="2"/>
  <c r="L40" i="2" s="1"/>
  <c r="I35" i="2"/>
  <c r="I40" i="2" s="1"/>
  <c r="F35" i="2"/>
  <c r="F40" i="2" s="1"/>
  <c r="C35" i="2"/>
  <c r="C40" i="2" s="1"/>
  <c r="N34" i="2"/>
  <c r="K34" i="2"/>
  <c r="G34" i="2"/>
  <c r="H34" i="2" s="1"/>
  <c r="N33" i="2"/>
  <c r="K33" i="2"/>
  <c r="G33" i="2"/>
  <c r="H33" i="2" s="1"/>
  <c r="N32" i="2"/>
  <c r="K32" i="2"/>
  <c r="G32" i="2"/>
  <c r="H32" i="2" s="1"/>
  <c r="N31" i="2"/>
  <c r="K31" i="2"/>
  <c r="G31" i="2"/>
  <c r="H31" i="2" s="1"/>
  <c r="N30" i="2"/>
  <c r="K30" i="2"/>
  <c r="G30" i="2"/>
  <c r="H30" i="2" s="1"/>
  <c r="N29" i="2"/>
  <c r="K29" i="2"/>
  <c r="J29" i="2"/>
  <c r="J35" i="2" s="1"/>
  <c r="J40" i="2" s="1"/>
  <c r="H29" i="2"/>
  <c r="G29" i="2"/>
  <c r="N28" i="2"/>
  <c r="K28" i="2"/>
  <c r="H28" i="2"/>
  <c r="G28" i="2"/>
  <c r="N27" i="2"/>
  <c r="K27" i="2"/>
  <c r="H27" i="2"/>
  <c r="G27" i="2"/>
  <c r="N26" i="2"/>
  <c r="K26" i="2"/>
  <c r="H26" i="2"/>
  <c r="G26" i="2"/>
  <c r="N25" i="2"/>
  <c r="G25" i="2"/>
  <c r="H25" i="2" s="1"/>
  <c r="N24" i="2"/>
  <c r="K24" i="2"/>
  <c r="G24" i="2"/>
  <c r="H24" i="2" s="1"/>
  <c r="N23" i="2"/>
  <c r="K23" i="2"/>
  <c r="G23" i="2"/>
  <c r="H23" i="2" s="1"/>
  <c r="N22" i="2"/>
  <c r="K22" i="2"/>
  <c r="G22" i="2"/>
  <c r="H22" i="2" s="1"/>
  <c r="N21" i="2"/>
  <c r="K21" i="2"/>
  <c r="G21" i="2"/>
  <c r="H21" i="2" s="1"/>
  <c r="N20" i="2"/>
  <c r="K20" i="2"/>
  <c r="G20" i="2"/>
  <c r="H20" i="2" s="1"/>
  <c r="N19" i="2"/>
  <c r="K19" i="2"/>
  <c r="G19" i="2"/>
  <c r="H19" i="2" s="1"/>
  <c r="N18" i="2"/>
  <c r="K18" i="2"/>
  <c r="G18" i="2"/>
  <c r="H18" i="2" s="1"/>
  <c r="N17" i="2"/>
  <c r="H17" i="2"/>
  <c r="G17" i="2"/>
  <c r="N16" i="2"/>
  <c r="K16" i="2"/>
  <c r="G16" i="2" s="1"/>
  <c r="H16" i="2" s="1"/>
  <c r="N15" i="2"/>
  <c r="K15" i="2"/>
  <c r="G15" i="2" s="1"/>
  <c r="H15" i="2" s="1"/>
  <c r="N14" i="2"/>
  <c r="K14" i="2"/>
  <c r="G14" i="2" s="1"/>
  <c r="H14" i="2" s="1"/>
  <c r="N13" i="2"/>
  <c r="K13" i="2"/>
  <c r="G13" i="2" s="1"/>
  <c r="H13" i="2" s="1"/>
  <c r="N12" i="2"/>
  <c r="K12" i="2"/>
  <c r="G12" i="2" s="1"/>
  <c r="H12" i="2" s="1"/>
  <c r="N11" i="2"/>
  <c r="K11" i="2"/>
  <c r="G11" i="2" s="1"/>
  <c r="H11" i="2" s="1"/>
  <c r="N10" i="2"/>
  <c r="K10" i="2"/>
  <c r="G10" i="2" s="1"/>
  <c r="H10" i="2" s="1"/>
  <c r="N9" i="2"/>
  <c r="H9" i="2"/>
  <c r="G9" i="2"/>
  <c r="N8" i="2"/>
  <c r="N35" i="2" s="1"/>
  <c r="N40" i="2" s="1"/>
  <c r="K8" i="2"/>
  <c r="K35" i="2" s="1"/>
  <c r="K40" i="2" s="1"/>
  <c r="I63" i="1"/>
  <c r="K54" i="1"/>
  <c r="H54" i="1"/>
  <c r="G54" i="1"/>
  <c r="K53" i="1"/>
  <c r="G53" i="1"/>
  <c r="H53" i="1" s="1"/>
  <c r="M37" i="1"/>
  <c r="L37" i="1"/>
  <c r="J37" i="1"/>
  <c r="I37" i="1"/>
  <c r="F37" i="1"/>
  <c r="C37" i="1"/>
  <c r="N36" i="1"/>
  <c r="N37" i="1" s="1"/>
  <c r="K36" i="1"/>
  <c r="K37" i="1" s="1"/>
  <c r="G36" i="1"/>
  <c r="G37" i="1" s="1"/>
  <c r="M34" i="1"/>
  <c r="M39" i="1" s="1"/>
  <c r="L34" i="1"/>
  <c r="L39" i="1" s="1"/>
  <c r="J34" i="1"/>
  <c r="J39" i="1" s="1"/>
  <c r="I34" i="1"/>
  <c r="I39" i="1" s="1"/>
  <c r="F34" i="1"/>
  <c r="F39" i="1" s="1"/>
  <c r="C34" i="1"/>
  <c r="C39" i="1" s="1"/>
  <c r="N33" i="1"/>
  <c r="K33" i="1"/>
  <c r="G33" i="1" s="1"/>
  <c r="H33" i="1" s="1"/>
  <c r="N32" i="1"/>
  <c r="H32" i="1"/>
  <c r="G32" i="1"/>
  <c r="N31" i="1"/>
  <c r="K31" i="1"/>
  <c r="H31" i="1"/>
  <c r="G31" i="1"/>
  <c r="N30" i="1"/>
  <c r="K30" i="1"/>
  <c r="H30" i="1"/>
  <c r="G30" i="1"/>
  <c r="N29" i="1"/>
  <c r="K29" i="1"/>
  <c r="H29" i="1"/>
  <c r="G29" i="1"/>
  <c r="N28" i="1"/>
  <c r="K28" i="1"/>
  <c r="H28" i="1"/>
  <c r="G28" i="1"/>
  <c r="N27" i="1"/>
  <c r="K27" i="1"/>
  <c r="H27" i="1"/>
  <c r="G27" i="1"/>
  <c r="N26" i="1"/>
  <c r="K26" i="1"/>
  <c r="H26" i="1"/>
  <c r="G26" i="1"/>
  <c r="N25" i="1"/>
  <c r="K25" i="1"/>
  <c r="H25" i="1"/>
  <c r="G25" i="1"/>
  <c r="N24" i="1"/>
  <c r="K24" i="1"/>
  <c r="H24" i="1"/>
  <c r="G24" i="1"/>
  <c r="N23" i="1"/>
  <c r="K23" i="1"/>
  <c r="H23" i="1"/>
  <c r="G23" i="1"/>
  <c r="N22" i="1"/>
  <c r="K22" i="1"/>
  <c r="H22" i="1"/>
  <c r="G22" i="1"/>
  <c r="N21" i="1"/>
  <c r="K21" i="1"/>
  <c r="H21" i="1"/>
  <c r="G21" i="1"/>
  <c r="N20" i="1"/>
  <c r="K20" i="1"/>
  <c r="H20" i="1"/>
  <c r="G20" i="1"/>
  <c r="N19" i="1"/>
  <c r="K19" i="1"/>
  <c r="H19" i="1"/>
  <c r="G19" i="1"/>
  <c r="N18" i="1"/>
  <c r="K18" i="1"/>
  <c r="H18" i="1"/>
  <c r="G18" i="1"/>
  <c r="N17" i="1"/>
  <c r="K17" i="1"/>
  <c r="H17" i="1"/>
  <c r="G17" i="1"/>
  <c r="N16" i="1"/>
  <c r="K16" i="1"/>
  <c r="H16" i="1"/>
  <c r="G16" i="1"/>
  <c r="N15" i="1"/>
  <c r="K15" i="1"/>
  <c r="H15" i="1"/>
  <c r="G15" i="1"/>
  <c r="N14" i="1"/>
  <c r="K14" i="1"/>
  <c r="H14" i="1"/>
  <c r="G14" i="1"/>
  <c r="N13" i="1"/>
  <c r="K13" i="1"/>
  <c r="H13" i="1"/>
  <c r="G13" i="1"/>
  <c r="N12" i="1"/>
  <c r="K12" i="1"/>
  <c r="H12" i="1"/>
  <c r="G12" i="1"/>
  <c r="N11" i="1"/>
  <c r="K11" i="1"/>
  <c r="H11" i="1"/>
  <c r="G11" i="1"/>
  <c r="N10" i="1"/>
  <c r="K10" i="1"/>
  <c r="H10" i="1"/>
  <c r="G10" i="1"/>
  <c r="N9" i="1"/>
  <c r="G9" i="1"/>
  <c r="H9" i="1" s="1"/>
  <c r="N8" i="1"/>
  <c r="N34" i="1" s="1"/>
  <c r="N39" i="1" s="1"/>
  <c r="K8" i="1"/>
  <c r="G8" i="1"/>
  <c r="G34" i="1" s="1"/>
  <c r="G39" i="1" s="1"/>
  <c r="G38" i="4" l="1"/>
  <c r="H37" i="4"/>
  <c r="H38" i="4" s="1"/>
  <c r="G10" i="4"/>
  <c r="H10" i="4" s="1"/>
  <c r="H35" i="4" s="1"/>
  <c r="H40" i="4" s="1"/>
  <c r="G35" i="4"/>
  <c r="K38" i="4"/>
  <c r="K40" i="4" s="1"/>
  <c r="G38" i="3"/>
  <c r="G40" i="3" s="1"/>
  <c r="H37" i="3"/>
  <c r="H38" i="3" s="1"/>
  <c r="H35" i="3"/>
  <c r="H40" i="3" s="1"/>
  <c r="K35" i="3"/>
  <c r="K38" i="3"/>
  <c r="G8" i="2"/>
  <c r="H37" i="2"/>
  <c r="H38" i="2" s="1"/>
  <c r="K34" i="1"/>
  <c r="K39" i="1" s="1"/>
  <c r="H8" i="1"/>
  <c r="H34" i="1" s="1"/>
  <c r="H39" i="1" s="1"/>
  <c r="H36" i="1"/>
  <c r="H37" i="1" s="1"/>
  <c r="G40" i="4" l="1"/>
  <c r="K40" i="3"/>
  <c r="H8" i="2"/>
  <c r="H35" i="2" s="1"/>
  <c r="H40" i="2" s="1"/>
  <c r="G35" i="2"/>
  <c r="G40" i="2" s="1"/>
</calcChain>
</file>

<file path=xl/sharedStrings.xml><?xml version="1.0" encoding="utf-8"?>
<sst xmlns="http://schemas.openxmlformats.org/spreadsheetml/2006/main" count="450" uniqueCount="101">
  <si>
    <t>CUMPLIMIENTO DE NORMAS</t>
  </si>
  <si>
    <t>SEGUROS DE VIDA</t>
  </si>
  <si>
    <t>(al 31 de marzo de 2006, montos expresados en miles de pesos)</t>
  </si>
  <si>
    <t>SOCIEDAD</t>
  </si>
  <si>
    <t>PATRIMONIO</t>
  </si>
  <si>
    <t>ENDEUDAMIENTO</t>
  </si>
  <si>
    <t>OBLIGACION DE</t>
  </si>
  <si>
    <t>INVER.REPRES.</t>
  </si>
  <si>
    <t>SUPERAV.(DEF) DE</t>
  </si>
  <si>
    <t>INVERSIONES NO</t>
  </si>
  <si>
    <t>INVERSIONES</t>
  </si>
  <si>
    <t>RESERVAS</t>
  </si>
  <si>
    <t>DE RIESGO</t>
  </si>
  <si>
    <t>TOTAL</t>
  </si>
  <si>
    <t>FINANC.</t>
  </si>
  <si>
    <t>INVERTIR LAS RES.</t>
  </si>
  <si>
    <t>DE RES.TEC Y PAT.</t>
  </si>
  <si>
    <t>INV.REPRES.DE RES.</t>
  </si>
  <si>
    <t>REPRESENTATIVAS</t>
  </si>
  <si>
    <t>RES. PREVIS.</t>
  </si>
  <si>
    <t>RES. NO PREVIS.</t>
  </si>
  <si>
    <t>RES. ADIC.</t>
  </si>
  <si>
    <t>PAT. RIESGO</t>
  </si>
  <si>
    <t>TECNICAS</t>
  </si>
  <si>
    <t>TEC. Y PAT.RIESGO</t>
  </si>
  <si>
    <t xml:space="preserve">ABN Amro </t>
  </si>
  <si>
    <t xml:space="preserve">Ace </t>
  </si>
  <si>
    <t>Altavida</t>
  </si>
  <si>
    <t>Banchile</t>
  </si>
  <si>
    <t>BBVA</t>
  </si>
  <si>
    <t>Bci</t>
  </si>
  <si>
    <t>Bice</t>
  </si>
  <si>
    <t xml:space="preserve">Cardif   </t>
  </si>
  <si>
    <t>Chilena Consolidada</t>
  </si>
  <si>
    <t xml:space="preserve">Cigna   </t>
  </si>
  <si>
    <t>CN Life</t>
  </si>
  <si>
    <t>Consorcio Nacional</t>
  </si>
  <si>
    <t>Cruz del Sur</t>
  </si>
  <si>
    <t xml:space="preserve">Euroamérica </t>
  </si>
  <si>
    <t xml:space="preserve">Huelén </t>
  </si>
  <si>
    <t xml:space="preserve">ING </t>
  </si>
  <si>
    <t>Interamericana</t>
  </si>
  <si>
    <t xml:space="preserve">Mapfre  </t>
  </si>
  <si>
    <t>Met Life</t>
  </si>
  <si>
    <t>Ohio National</t>
  </si>
  <si>
    <t>Penta</t>
  </si>
  <si>
    <t>Principal</t>
  </si>
  <si>
    <t>Renta Nacional</t>
  </si>
  <si>
    <t xml:space="preserve">Security Previsión </t>
  </si>
  <si>
    <t>Security Rentas (1)</t>
  </si>
  <si>
    <t xml:space="preserve">Vida Corp  </t>
  </si>
  <si>
    <t xml:space="preserve">TOTAL ASEGURADORAS    </t>
  </si>
  <si>
    <t>Caja Reaseguradora</t>
  </si>
  <si>
    <t>TOTAL REASEGURADORAS</t>
  </si>
  <si>
    <t>1)</t>
  </si>
  <si>
    <t>Por resolución Nº142 del 20.04.06 de esta Superintendencia, se aprobó el cambio de nombre de Interamericana Rentas Seguros de Vida S.A. por el de Security Rentas Seguros de Vida S.A.</t>
  </si>
  <si>
    <t xml:space="preserve"> </t>
  </si>
  <si>
    <t>MUTUALIDADES</t>
  </si>
  <si>
    <t>VENTAS INSTITUCIONALES EXCLUSIVAMENTE</t>
  </si>
  <si>
    <t xml:space="preserve">             ENDEUDAMIENTO</t>
  </si>
  <si>
    <t>OBLIGACION</t>
  </si>
  <si>
    <t>SUPERAVIT (DEF)</t>
  </si>
  <si>
    <t>DE INV.LAS</t>
  </si>
  <si>
    <t>REPRESENT.</t>
  </si>
  <si>
    <t>DE INV.REPRES.</t>
  </si>
  <si>
    <t>DE INV.EL</t>
  </si>
  <si>
    <t>R.TECNICAS</t>
  </si>
  <si>
    <t>DE RES.TEC</t>
  </si>
  <si>
    <t>DE PATRIMONIO</t>
  </si>
  <si>
    <t>Mut. de Carabineros</t>
  </si>
  <si>
    <t>Mut. Ejérc. y Aviac.</t>
  </si>
  <si>
    <t>VENTAS INSTITUCIONALES Y NO INSTITUCIONALES SIMULTANEAMENTE</t>
  </si>
  <si>
    <t xml:space="preserve">OBLIGACION DE </t>
  </si>
  <si>
    <t xml:space="preserve">INVERSIONES </t>
  </si>
  <si>
    <t>SUPERAVIT (DEFICIT)</t>
  </si>
  <si>
    <t xml:space="preserve"> INV.LAS R.TEC.</t>
  </si>
  <si>
    <t>TOTALES</t>
  </si>
  <si>
    <t>Y  PAT.RIESGO</t>
  </si>
  <si>
    <t>Y  PATRIMONIO</t>
  </si>
  <si>
    <t>REPRES.DE R.TECN.</t>
  </si>
  <si>
    <t>DE RES.TECNICAS</t>
  </si>
  <si>
    <t>VENTAS NO INST.</t>
  </si>
  <si>
    <t>VENTAS INST.</t>
  </si>
  <si>
    <t>Y PATRIMONIO</t>
  </si>
  <si>
    <t>Mutual de Seguros</t>
  </si>
  <si>
    <t>(al 30 de junio de 2006, montos expresados en miles de pesos)</t>
  </si>
  <si>
    <t xml:space="preserve">RESERVAS </t>
  </si>
  <si>
    <t>CLC (1)</t>
  </si>
  <si>
    <t>Security Rentas</t>
  </si>
  <si>
    <t>Santander (2)</t>
  </si>
  <si>
    <t>La compañía presenta déficit de inversiones representativas de Patrimonio de Riesgo ascendente a M$329, producto de insuficiencia de inversiones, situación que será solucionada con un nuevo aporte de capital. Cabe señalar que se aprobó la existencia de esta compañía por Resolución Nº237 del 05.06.06 de esta SVS.</t>
  </si>
  <si>
    <t>2)</t>
  </si>
  <si>
    <t>Por resolución Nº352 del 10.08.06 de esta Superintendencia, se aprobó el cambio de nombre de Altavida Santander Seguros de Vida S.A. por el de Santander Seguros de Vida S.A.</t>
  </si>
  <si>
    <t>(al 30 de septiembre de 2006, montos expresados en miles de pesos)</t>
  </si>
  <si>
    <t xml:space="preserve">CLC </t>
  </si>
  <si>
    <t>Santander (1)</t>
  </si>
  <si>
    <t>MUTUALIDAD DE CARABINEROS</t>
  </si>
  <si>
    <t>MUTUALIDAD DEL EJERCITO Y AVIACION</t>
  </si>
  <si>
    <t>MUTUAL DE SEGUROS</t>
  </si>
  <si>
    <t>(al 31 de diciembre de 2006, montos expresados en miles de pesos)</t>
  </si>
  <si>
    <t>La compañía presenta déficit de inversiones representativas de Reservas Técnicas y Patrimonio de Riesgo ascendente a M$1.681.867, situación producida por la contabilización de las obligaciones y reservas derivadas de un contrato de traspaso de cartera celebrado con la compañía de seguros de vida ING, como también por mantener un exceso de inversión en instrumentos de renta fija emitidos por un solo emisor. De acuerdo a lo informado por la compañía, dicha situación se encuentra corregida.</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</si>
</sst>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0"/>
      <name val="MS Sans Serif"/>
      <family val="2"/>
    </font>
    <font>
      <sz val="10"/>
      <name val="MS Sans Serif"/>
    </font>
    <font>
      <sz val="10"/>
      <name val="MS Sans Serif"/>
      <family val="2"/>
    </font>
    <font>
      <sz val="8"/>
      <name val="MS Sans Serif"/>
    </font>
    <font>
      <sz val="8"/>
      <name val="MS Sans Serif"/>
      <family val="2"/>
    </font>
    <font>
      <sz val="10"/>
      <color rgb="FFFF0000"/>
      <name val="MS Sans Serif"/>
      <family val="2"/>
    </font>
    <font>
      <sz val="9"/>
      <name val="MS Sans Serif"/>
      <family val="2"/>
    </font>
    <font>
      <sz val="9"/>
      <name val="MS Sans Serif"/>
    </font>
    <font>
      <b/>
      <sz val="9"/>
      <name val="MS Sans Serif"/>
      <family val="2"/>
    </font>
    <font>
      <b/>
      <sz val="10"/>
      <name val="MS Sans Serif"/>
    </font>
    <font>
      <sz val="10"/>
      <name val="Times New Roman"/>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
    <xf numFmtId="0" fontId="0" fillId="0" borderId="0"/>
  </cellStyleXfs>
  <cellXfs count="78">
    <xf numFmtId="0" fontId="0" fillId="0" borderId="0" xfId="0"/>
    <xf numFmtId="3" fontId="1" fillId="0" borderId="0" xfId="0" applyNumberFormat="1" applyFont="1" applyFill="1" applyBorder="1" applyAlignment="1">
      <alignment horizontal="left"/>
    </xf>
    <xf numFmtId="3" fontId="1" fillId="0" borderId="0" xfId="0" applyNumberFormat="1" applyFont="1" applyFill="1" applyBorder="1" applyAlignment="1">
      <alignment horizontal="right"/>
    </xf>
    <xf numFmtId="3" fontId="1" fillId="0" borderId="0" xfId="0" applyNumberFormat="1" applyFont="1" applyFill="1" applyBorder="1" applyAlignment="1"/>
    <xf numFmtId="3" fontId="2" fillId="0" borderId="0" xfId="0" applyNumberFormat="1" applyFont="1" applyFill="1" applyBorder="1" applyAlignment="1">
      <alignment horizontal="right"/>
    </xf>
    <xf numFmtId="3" fontId="1" fillId="0" borderId="0" xfId="0" quotePrefix="1" applyNumberFormat="1" applyFont="1" applyFill="1" applyBorder="1" applyAlignment="1">
      <alignment horizontal="left"/>
    </xf>
    <xf numFmtId="3" fontId="3" fillId="0" borderId="0" xfId="0" quotePrefix="1" applyNumberFormat="1" applyFont="1" applyFill="1" applyBorder="1" applyAlignment="1">
      <alignment horizontal="left"/>
    </xf>
    <xf numFmtId="3" fontId="2" fillId="0" borderId="1" xfId="0" applyNumberFormat="1" applyFont="1" applyFill="1" applyBorder="1" applyAlignment="1">
      <alignment horizontal="right"/>
    </xf>
    <xf numFmtId="3" fontId="4" fillId="0" borderId="2" xfId="0" applyNumberFormat="1" applyFont="1" applyFill="1" applyBorder="1" applyAlignment="1">
      <alignment horizontal="left"/>
    </xf>
    <xf numFmtId="3" fontId="4" fillId="0" borderId="2" xfId="0" applyNumberFormat="1" applyFont="1" applyFill="1" applyBorder="1" applyAlignment="1">
      <alignment horizontal="right"/>
    </xf>
    <xf numFmtId="3" fontId="4" fillId="0" borderId="2" xfId="0" quotePrefix="1" applyNumberFormat="1" applyFont="1" applyFill="1" applyBorder="1" applyAlignment="1">
      <alignment horizontal="right"/>
    </xf>
    <xf numFmtId="3" fontId="4" fillId="0" borderId="0" xfId="0" quotePrefix="1" applyNumberFormat="1" applyFont="1" applyFill="1" applyBorder="1" applyAlignment="1">
      <alignment horizontal="right"/>
    </xf>
    <xf numFmtId="3" fontId="4" fillId="0" borderId="0" xfId="0" applyNumberFormat="1" applyFont="1" applyFill="1" applyBorder="1" applyAlignment="1">
      <alignment horizontal="right"/>
    </xf>
    <xf numFmtId="3" fontId="5" fillId="0" borderId="0" xfId="0" applyNumberFormat="1" applyFont="1" applyFill="1" applyBorder="1" applyAlignment="1">
      <alignment horizontal="right" vertical="center"/>
    </xf>
    <xf numFmtId="3" fontId="5" fillId="0" borderId="0" xfId="0" applyNumberFormat="1" applyFont="1" applyFill="1" applyBorder="1" applyAlignment="1">
      <alignment horizontal="right"/>
    </xf>
    <xf numFmtId="3" fontId="4" fillId="0" borderId="1" xfId="0" quotePrefix="1" applyNumberFormat="1" applyFont="1" applyFill="1" applyBorder="1" applyAlignment="1">
      <alignment horizontal="right"/>
    </xf>
    <xf numFmtId="3" fontId="4" fillId="0" borderId="1" xfId="0" quotePrefix="1" applyNumberFormat="1" applyFont="1" applyFill="1" applyBorder="1" applyAlignment="1">
      <alignment horizontal="center"/>
    </xf>
    <xf numFmtId="3" fontId="4" fillId="0" borderId="1" xfId="0" applyNumberFormat="1" applyFont="1" applyFill="1" applyBorder="1" applyAlignment="1">
      <alignment horizontal="right"/>
    </xf>
    <xf numFmtId="3" fontId="4" fillId="0" borderId="0" xfId="0" quotePrefix="1" applyNumberFormat="1" applyFont="1" applyFill="1" applyBorder="1" applyAlignment="1">
      <alignment horizontal="center"/>
    </xf>
    <xf numFmtId="4" fontId="2" fillId="0" borderId="0" xfId="0" applyNumberFormat="1" applyFont="1" applyFill="1" applyBorder="1" applyAlignment="1">
      <alignment horizontal="right"/>
    </xf>
    <xf numFmtId="3" fontId="3" fillId="0" borderId="0" xfId="0" applyNumberFormat="1" applyFont="1" applyFill="1" applyBorder="1" applyAlignment="1">
      <alignment horizontal="right"/>
    </xf>
    <xf numFmtId="3" fontId="3" fillId="0" borderId="0" xfId="0" applyNumberFormat="1" applyFont="1" applyFill="1" applyBorder="1" applyAlignment="1">
      <alignment horizontal="left"/>
    </xf>
    <xf numFmtId="4" fontId="3" fillId="0" borderId="0" xfId="0" applyNumberFormat="1" applyFont="1" applyFill="1" applyBorder="1" applyAlignment="1">
      <alignment horizontal="right"/>
    </xf>
    <xf numFmtId="3" fontId="6" fillId="0" borderId="0" xfId="0" applyNumberFormat="1" applyFont="1" applyFill="1" applyBorder="1" applyAlignment="1">
      <alignment horizontal="right"/>
    </xf>
    <xf numFmtId="3" fontId="4" fillId="0" borderId="3" xfId="0" quotePrefix="1" applyNumberFormat="1" applyFont="1" applyFill="1" applyBorder="1" applyAlignment="1">
      <alignment horizontal="left"/>
    </xf>
    <xf numFmtId="3" fontId="2" fillId="0" borderId="3" xfId="0" applyNumberFormat="1" applyFont="1" applyFill="1" applyBorder="1" applyAlignment="1">
      <alignment horizontal="right"/>
    </xf>
    <xf numFmtId="4" fontId="2" fillId="0" borderId="3" xfId="0" applyNumberFormat="1" applyFont="1" applyFill="1" applyBorder="1" applyAlignment="1">
      <alignment horizontal="right"/>
    </xf>
    <xf numFmtId="3" fontId="4" fillId="0" borderId="0" xfId="0" applyNumberFormat="1" applyFont="1" applyFill="1" applyBorder="1" applyAlignment="1">
      <alignment horizontal="left"/>
    </xf>
    <xf numFmtId="3" fontId="2" fillId="0" borderId="0" xfId="0" applyNumberFormat="1" applyFont="1" applyFill="1" applyBorder="1" applyAlignment="1">
      <alignment horizontal="left"/>
    </xf>
    <xf numFmtId="3" fontId="5" fillId="0" borderId="3" xfId="0" applyNumberFormat="1" applyFont="1" applyFill="1" applyBorder="1" applyAlignment="1">
      <alignment horizontal="left"/>
    </xf>
    <xf numFmtId="3" fontId="2" fillId="0" borderId="1" xfId="0" applyNumberFormat="1" applyFont="1" applyFill="1" applyBorder="1" applyAlignment="1">
      <alignment horizontal="left"/>
    </xf>
    <xf numFmtId="4" fontId="2" fillId="0" borderId="1" xfId="0" applyNumberFormat="1" applyFont="1" applyFill="1" applyBorder="1" applyAlignment="1">
      <alignment horizontal="right"/>
    </xf>
    <xf numFmtId="3" fontId="3" fillId="0" borderId="1" xfId="0" applyNumberFormat="1" applyFont="1" applyFill="1" applyBorder="1" applyAlignment="1">
      <alignment horizontal="right"/>
    </xf>
    <xf numFmtId="3" fontId="7" fillId="0" borderId="0" xfId="0" applyNumberFormat="1" applyFont="1" applyFill="1" applyBorder="1" applyAlignment="1">
      <alignment horizontal="left" vertical="top"/>
    </xf>
    <xf numFmtId="3" fontId="7" fillId="0" borderId="0" xfId="0" quotePrefix="1" applyNumberFormat="1" applyFont="1" applyFill="1" applyBorder="1" applyAlignment="1">
      <alignment horizontal="left" vertical="top"/>
    </xf>
    <xf numFmtId="3" fontId="2" fillId="0" borderId="0" xfId="0" quotePrefix="1" applyNumberFormat="1" applyFont="1" applyFill="1" applyBorder="1" applyAlignment="1">
      <alignment horizontal="left"/>
    </xf>
    <xf numFmtId="0" fontId="2" fillId="0" borderId="0" xfId="0" applyFont="1" applyFill="1" applyBorder="1"/>
    <xf numFmtId="0" fontId="1" fillId="0" borderId="0" xfId="0" quotePrefix="1" applyFont="1" applyFill="1" applyBorder="1" applyAlignment="1">
      <alignment horizontal="left"/>
    </xf>
    <xf numFmtId="17" fontId="3" fillId="0" borderId="0" xfId="0" quotePrefix="1" applyNumberFormat="1" applyFont="1" applyFill="1" applyBorder="1" applyAlignment="1">
      <alignment horizontal="left"/>
    </xf>
    <xf numFmtId="0" fontId="4" fillId="0" borderId="2" xfId="0" applyFont="1" applyFill="1" applyBorder="1"/>
    <xf numFmtId="0" fontId="4" fillId="0" borderId="3" xfId="0" applyFont="1" applyFill="1" applyBorder="1" applyAlignment="1">
      <alignment horizontal="center"/>
    </xf>
    <xf numFmtId="0" fontId="4" fillId="0" borderId="2" xfId="0" applyFont="1" applyFill="1" applyBorder="1" applyAlignment="1">
      <alignment horizontal="center"/>
    </xf>
    <xf numFmtId="0" fontId="4" fillId="0" borderId="2" xfId="0" quotePrefix="1" applyFont="1" applyFill="1" applyBorder="1" applyAlignment="1">
      <alignment horizontal="center"/>
    </xf>
    <xf numFmtId="0" fontId="4" fillId="0" borderId="0" xfId="0" applyFont="1" applyFill="1" applyBorder="1"/>
    <xf numFmtId="0" fontId="4" fillId="0" borderId="0" xfId="0" applyFont="1" applyFill="1" applyBorder="1" applyAlignment="1">
      <alignment horizontal="center"/>
    </xf>
    <xf numFmtId="0" fontId="4" fillId="0" borderId="1" xfId="0" applyFont="1" applyFill="1" applyBorder="1"/>
    <xf numFmtId="0" fontId="4" fillId="0" borderId="1" xfId="0" applyFont="1" applyFill="1" applyBorder="1" applyAlignment="1">
      <alignment horizontal="center"/>
    </xf>
    <xf numFmtId="0" fontId="4" fillId="0" borderId="1" xfId="0" quotePrefix="1" applyFont="1" applyFill="1" applyBorder="1" applyAlignment="1">
      <alignment horizontal="center"/>
    </xf>
    <xf numFmtId="2" fontId="4" fillId="0" borderId="0" xfId="0" applyNumberFormat="1" applyFont="1" applyFill="1" applyBorder="1"/>
    <xf numFmtId="3" fontId="4" fillId="0" borderId="0" xfId="0" applyNumberFormat="1" applyFont="1" applyFill="1" applyBorder="1" applyAlignment="1">
      <alignment horizontal="center"/>
    </xf>
    <xf numFmtId="0" fontId="3" fillId="0" borderId="0" xfId="0" applyFont="1" applyFill="1" applyBorder="1" applyAlignment="1">
      <alignment horizontal="left"/>
    </xf>
    <xf numFmtId="2" fontId="4" fillId="0" borderId="0" xfId="0" applyNumberFormat="1" applyFont="1" applyFill="1" applyBorder="1" applyAlignment="1">
      <alignment horizontal="center"/>
    </xf>
    <xf numFmtId="0" fontId="4" fillId="0" borderId="0" xfId="0" applyNumberFormat="1" applyFont="1" applyFill="1" applyBorder="1" applyAlignment="1">
      <alignment horizontal="center"/>
    </xf>
    <xf numFmtId="3" fontId="4" fillId="0" borderId="0" xfId="0" applyNumberFormat="1" applyFont="1" applyFill="1" applyBorder="1"/>
    <xf numFmtId="0" fontId="3" fillId="0" borderId="0" xfId="0" quotePrefix="1" applyFont="1" applyFill="1" applyBorder="1" applyAlignment="1">
      <alignment horizontal="left"/>
    </xf>
    <xf numFmtId="2" fontId="2" fillId="0" borderId="0" xfId="0" applyNumberFormat="1" applyFont="1" applyFill="1" applyBorder="1"/>
    <xf numFmtId="3" fontId="2" fillId="0" borderId="0" xfId="0" applyNumberFormat="1" applyFont="1" applyFill="1" applyBorder="1"/>
    <xf numFmtId="0" fontId="2" fillId="0" borderId="0" xfId="0" quotePrefix="1" applyFont="1" applyFill="1" applyBorder="1" applyAlignment="1">
      <alignment horizontal="left"/>
    </xf>
    <xf numFmtId="2" fontId="4" fillId="0" borderId="3" xfId="0" applyNumberFormat="1" applyFont="1" applyFill="1" applyBorder="1" applyAlignment="1">
      <alignment horizontal="center"/>
    </xf>
    <xf numFmtId="3" fontId="4" fillId="0" borderId="2" xfId="0" quotePrefix="1" applyNumberFormat="1" applyFont="1" applyFill="1" applyBorder="1" applyAlignment="1">
      <alignment horizontal="center"/>
    </xf>
    <xf numFmtId="3" fontId="4" fillId="0" borderId="2" xfId="0" applyNumberFormat="1" applyFont="1" applyFill="1" applyBorder="1" applyAlignment="1">
      <alignment horizontal="center"/>
    </xf>
    <xf numFmtId="2" fontId="4" fillId="0" borderId="1" xfId="0" applyNumberFormat="1" applyFont="1" applyFill="1" applyBorder="1"/>
    <xf numFmtId="3" fontId="4" fillId="0" borderId="1" xfId="0" applyNumberFormat="1" applyFont="1" applyFill="1" applyBorder="1" applyAlignment="1">
      <alignment horizontal="center"/>
    </xf>
    <xf numFmtId="0" fontId="3" fillId="0" borderId="0" xfId="0" applyFont="1" applyFill="1" applyBorder="1"/>
    <xf numFmtId="0" fontId="8" fillId="0" borderId="0" xfId="0" applyFont="1" applyFill="1" applyBorder="1"/>
    <xf numFmtId="0" fontId="10" fillId="0" borderId="0" xfId="0" applyFont="1" applyFill="1" applyBorder="1"/>
    <xf numFmtId="0" fontId="4" fillId="0" borderId="0" xfId="0" quotePrefix="1" applyFont="1" applyFill="1" applyBorder="1" applyAlignment="1">
      <alignment horizontal="left"/>
    </xf>
    <xf numFmtId="0" fontId="11" fillId="0" borderId="0" xfId="0" applyFont="1" applyFill="1" applyBorder="1"/>
    <xf numFmtId="3" fontId="8" fillId="0" borderId="0" xfId="0" applyNumberFormat="1" applyFont="1" applyFill="1" applyBorder="1" applyAlignment="1">
      <alignment horizontal="justify" vertical="top" wrapText="1"/>
    </xf>
    <xf numFmtId="3" fontId="8" fillId="0" borderId="0" xfId="0" applyNumberFormat="1" applyFont="1" applyFill="1" applyBorder="1" applyAlignment="1">
      <alignment horizontal="left" vertical="top" wrapText="1"/>
    </xf>
    <xf numFmtId="0" fontId="2" fillId="0" borderId="0" xfId="0" applyFont="1" applyFill="1" applyBorder="1" applyAlignment="1"/>
    <xf numFmtId="3" fontId="4" fillId="0" borderId="3" xfId="0" quotePrefix="1" applyNumberFormat="1" applyFont="1" applyFill="1" applyBorder="1" applyAlignment="1">
      <alignment horizontal="center"/>
    </xf>
    <xf numFmtId="3" fontId="2" fillId="0" borderId="0" xfId="0" applyNumberFormat="1" applyFont="1" applyFill="1" applyBorder="1" applyAlignment="1">
      <alignment horizontal="left"/>
    </xf>
    <xf numFmtId="3" fontId="3" fillId="0" borderId="0" xfId="0" quotePrefix="1" applyNumberFormat="1" applyFont="1" applyFill="1" applyBorder="1" applyAlignment="1">
      <alignment horizontal="left"/>
    </xf>
    <xf numFmtId="0" fontId="2" fillId="0" borderId="0" xfId="0" applyFont="1" applyFill="1" applyBorder="1" applyAlignment="1">
      <alignment horizontal="left"/>
    </xf>
    <xf numFmtId="3" fontId="8" fillId="0" borderId="0" xfId="0" applyNumberFormat="1" applyFont="1" applyFill="1" applyBorder="1" applyAlignment="1">
      <alignment horizontal="justify" vertical="top" wrapText="1"/>
    </xf>
    <xf numFmtId="3" fontId="9" fillId="0" borderId="0" xfId="0" applyNumberFormat="1" applyFont="1" applyFill="1" applyBorder="1" applyAlignment="1">
      <alignment horizontal="justify" vertical="top" wrapText="1"/>
    </xf>
    <xf numFmtId="0" fontId="2" fillId="0" borderId="0" xfId="0" applyFont="1" applyFill="1" applyBorder="1" applyAlignment="1">
      <alignment horizontal="justify"/>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tabSelected="1" workbookViewId="0"/>
  </sheetViews>
  <sheetFormatPr baseColWidth="10" defaultRowHeight="12.75" x14ac:dyDescent="0.2"/>
  <cols>
    <col min="1" max="1" width="2.5703125" style="4" customWidth="1"/>
    <col min="2" max="2" width="22.42578125" style="4" customWidth="1"/>
    <col min="3" max="3" width="13.5703125" style="4" customWidth="1"/>
    <col min="4" max="4" width="8.140625" style="4" customWidth="1"/>
    <col min="5" max="5" width="8.5703125" style="4" customWidth="1"/>
    <col min="6" max="6" width="17" style="4" bestFit="1" customWidth="1"/>
    <col min="7" max="7" width="16.7109375" style="4" bestFit="1" customWidth="1"/>
    <col min="8" max="8" width="18" style="4" bestFit="1" customWidth="1"/>
    <col min="9" max="9" width="17.7109375" style="4" bestFit="1" customWidth="1"/>
    <col min="10" max="11" width="16.140625" style="4" customWidth="1"/>
    <col min="12" max="12" width="14.85546875" style="4" customWidth="1"/>
    <col min="13" max="13" width="15.85546875" style="4" customWidth="1"/>
    <col min="14" max="14" width="14.5703125" style="4" bestFit="1" customWidth="1"/>
    <col min="15" max="256" width="11.42578125" style="4"/>
    <col min="257" max="257" width="2.5703125" style="4" customWidth="1"/>
    <col min="258" max="258" width="22.42578125" style="4" customWidth="1"/>
    <col min="259" max="259" width="13.5703125" style="4" customWidth="1"/>
    <col min="260" max="260" width="8.140625" style="4" customWidth="1"/>
    <col min="261" max="261" width="8.5703125" style="4" customWidth="1"/>
    <col min="262" max="262" width="17" style="4" bestFit="1" customWidth="1"/>
    <col min="263" max="263" width="16.7109375" style="4" bestFit="1" customWidth="1"/>
    <col min="264" max="264" width="18" style="4" bestFit="1" customWidth="1"/>
    <col min="265" max="265" width="17.7109375" style="4" bestFit="1" customWidth="1"/>
    <col min="266" max="267" width="16.140625" style="4" customWidth="1"/>
    <col min="268" max="268" width="14.85546875" style="4" customWidth="1"/>
    <col min="269" max="269" width="15.85546875" style="4" customWidth="1"/>
    <col min="270" max="270" width="14.5703125" style="4" bestFit="1" customWidth="1"/>
    <col min="271" max="512" width="11.42578125" style="4"/>
    <col min="513" max="513" width="2.5703125" style="4" customWidth="1"/>
    <col min="514" max="514" width="22.42578125" style="4" customWidth="1"/>
    <col min="515" max="515" width="13.5703125" style="4" customWidth="1"/>
    <col min="516" max="516" width="8.140625" style="4" customWidth="1"/>
    <col min="517" max="517" width="8.5703125" style="4" customWidth="1"/>
    <col min="518" max="518" width="17" style="4" bestFit="1" customWidth="1"/>
    <col min="519" max="519" width="16.7109375" style="4" bestFit="1" customWidth="1"/>
    <col min="520" max="520" width="18" style="4" bestFit="1" customWidth="1"/>
    <col min="521" max="521" width="17.7109375" style="4" bestFit="1" customWidth="1"/>
    <col min="522" max="523" width="16.140625" style="4" customWidth="1"/>
    <col min="524" max="524" width="14.85546875" style="4" customWidth="1"/>
    <col min="525" max="525" width="15.85546875" style="4" customWidth="1"/>
    <col min="526" max="526" width="14.5703125" style="4" bestFit="1" customWidth="1"/>
    <col min="527" max="768" width="11.42578125" style="4"/>
    <col min="769" max="769" width="2.5703125" style="4" customWidth="1"/>
    <col min="770" max="770" width="22.42578125" style="4" customWidth="1"/>
    <col min="771" max="771" width="13.5703125" style="4" customWidth="1"/>
    <col min="772" max="772" width="8.140625" style="4" customWidth="1"/>
    <col min="773" max="773" width="8.5703125" style="4" customWidth="1"/>
    <col min="774" max="774" width="17" style="4" bestFit="1" customWidth="1"/>
    <col min="775" max="775" width="16.7109375" style="4" bestFit="1" customWidth="1"/>
    <col min="776" max="776" width="18" style="4" bestFit="1" customWidth="1"/>
    <col min="777" max="777" width="17.7109375" style="4" bestFit="1" customWidth="1"/>
    <col min="778" max="779" width="16.140625" style="4" customWidth="1"/>
    <col min="780" max="780" width="14.85546875" style="4" customWidth="1"/>
    <col min="781" max="781" width="15.85546875" style="4" customWidth="1"/>
    <col min="782" max="782" width="14.5703125" style="4" bestFit="1" customWidth="1"/>
    <col min="783" max="1024" width="11.42578125" style="4"/>
    <col min="1025" max="1025" width="2.5703125" style="4" customWidth="1"/>
    <col min="1026" max="1026" width="22.42578125" style="4" customWidth="1"/>
    <col min="1027" max="1027" width="13.5703125" style="4" customWidth="1"/>
    <col min="1028" max="1028" width="8.140625" style="4" customWidth="1"/>
    <col min="1029" max="1029" width="8.5703125" style="4" customWidth="1"/>
    <col min="1030" max="1030" width="17" style="4" bestFit="1" customWidth="1"/>
    <col min="1031" max="1031" width="16.7109375" style="4" bestFit="1" customWidth="1"/>
    <col min="1032" max="1032" width="18" style="4" bestFit="1" customWidth="1"/>
    <col min="1033" max="1033" width="17.7109375" style="4" bestFit="1" customWidth="1"/>
    <col min="1034" max="1035" width="16.140625" style="4" customWidth="1"/>
    <col min="1036" max="1036" width="14.85546875" style="4" customWidth="1"/>
    <col min="1037" max="1037" width="15.85546875" style="4" customWidth="1"/>
    <col min="1038" max="1038" width="14.5703125" style="4" bestFit="1" customWidth="1"/>
    <col min="1039" max="1280" width="11.42578125" style="4"/>
    <col min="1281" max="1281" width="2.5703125" style="4" customWidth="1"/>
    <col min="1282" max="1282" width="22.42578125" style="4" customWidth="1"/>
    <col min="1283" max="1283" width="13.5703125" style="4" customWidth="1"/>
    <col min="1284" max="1284" width="8.140625" style="4" customWidth="1"/>
    <col min="1285" max="1285" width="8.5703125" style="4" customWidth="1"/>
    <col min="1286" max="1286" width="17" style="4" bestFit="1" customWidth="1"/>
    <col min="1287" max="1287" width="16.7109375" style="4" bestFit="1" customWidth="1"/>
    <col min="1288" max="1288" width="18" style="4" bestFit="1" customWidth="1"/>
    <col min="1289" max="1289" width="17.7109375" style="4" bestFit="1" customWidth="1"/>
    <col min="1290" max="1291" width="16.140625" style="4" customWidth="1"/>
    <col min="1292" max="1292" width="14.85546875" style="4" customWidth="1"/>
    <col min="1293" max="1293" width="15.85546875" style="4" customWidth="1"/>
    <col min="1294" max="1294" width="14.5703125" style="4" bestFit="1" customWidth="1"/>
    <col min="1295" max="1536" width="11.42578125" style="4"/>
    <col min="1537" max="1537" width="2.5703125" style="4" customWidth="1"/>
    <col min="1538" max="1538" width="22.42578125" style="4" customWidth="1"/>
    <col min="1539" max="1539" width="13.5703125" style="4" customWidth="1"/>
    <col min="1540" max="1540" width="8.140625" style="4" customWidth="1"/>
    <col min="1541" max="1541" width="8.5703125" style="4" customWidth="1"/>
    <col min="1542" max="1542" width="17" style="4" bestFit="1" customWidth="1"/>
    <col min="1543" max="1543" width="16.7109375" style="4" bestFit="1" customWidth="1"/>
    <col min="1544" max="1544" width="18" style="4" bestFit="1" customWidth="1"/>
    <col min="1545" max="1545" width="17.7109375" style="4" bestFit="1" customWidth="1"/>
    <col min="1546" max="1547" width="16.140625" style="4" customWidth="1"/>
    <col min="1548" max="1548" width="14.85546875" style="4" customWidth="1"/>
    <col min="1549" max="1549" width="15.85546875" style="4" customWidth="1"/>
    <col min="1550" max="1550" width="14.5703125" style="4" bestFit="1" customWidth="1"/>
    <col min="1551" max="1792" width="11.42578125" style="4"/>
    <col min="1793" max="1793" width="2.5703125" style="4" customWidth="1"/>
    <col min="1794" max="1794" width="22.42578125" style="4" customWidth="1"/>
    <col min="1795" max="1795" width="13.5703125" style="4" customWidth="1"/>
    <col min="1796" max="1796" width="8.140625" style="4" customWidth="1"/>
    <col min="1797" max="1797" width="8.5703125" style="4" customWidth="1"/>
    <col min="1798" max="1798" width="17" style="4" bestFit="1" customWidth="1"/>
    <col min="1799" max="1799" width="16.7109375" style="4" bestFit="1" customWidth="1"/>
    <col min="1800" max="1800" width="18" style="4" bestFit="1" customWidth="1"/>
    <col min="1801" max="1801" width="17.7109375" style="4" bestFit="1" customWidth="1"/>
    <col min="1802" max="1803" width="16.140625" style="4" customWidth="1"/>
    <col min="1804" max="1804" width="14.85546875" style="4" customWidth="1"/>
    <col min="1805" max="1805" width="15.85546875" style="4" customWidth="1"/>
    <col min="1806" max="1806" width="14.5703125" style="4" bestFit="1" customWidth="1"/>
    <col min="1807" max="2048" width="11.42578125" style="4"/>
    <col min="2049" max="2049" width="2.5703125" style="4" customWidth="1"/>
    <col min="2050" max="2050" width="22.42578125" style="4" customWidth="1"/>
    <col min="2051" max="2051" width="13.5703125" style="4" customWidth="1"/>
    <col min="2052" max="2052" width="8.140625" style="4" customWidth="1"/>
    <col min="2053" max="2053" width="8.5703125" style="4" customWidth="1"/>
    <col min="2054" max="2054" width="17" style="4" bestFit="1" customWidth="1"/>
    <col min="2055" max="2055" width="16.7109375" style="4" bestFit="1" customWidth="1"/>
    <col min="2056" max="2056" width="18" style="4" bestFit="1" customWidth="1"/>
    <col min="2057" max="2057" width="17.7109375" style="4" bestFit="1" customWidth="1"/>
    <col min="2058" max="2059" width="16.140625" style="4" customWidth="1"/>
    <col min="2060" max="2060" width="14.85546875" style="4" customWidth="1"/>
    <col min="2061" max="2061" width="15.85546875" style="4" customWidth="1"/>
    <col min="2062" max="2062" width="14.5703125" style="4" bestFit="1" customWidth="1"/>
    <col min="2063" max="2304" width="11.42578125" style="4"/>
    <col min="2305" max="2305" width="2.5703125" style="4" customWidth="1"/>
    <col min="2306" max="2306" width="22.42578125" style="4" customWidth="1"/>
    <col min="2307" max="2307" width="13.5703125" style="4" customWidth="1"/>
    <col min="2308" max="2308" width="8.140625" style="4" customWidth="1"/>
    <col min="2309" max="2309" width="8.5703125" style="4" customWidth="1"/>
    <col min="2310" max="2310" width="17" style="4" bestFit="1" customWidth="1"/>
    <col min="2311" max="2311" width="16.7109375" style="4" bestFit="1" customWidth="1"/>
    <col min="2312" max="2312" width="18" style="4" bestFit="1" customWidth="1"/>
    <col min="2313" max="2313" width="17.7109375" style="4" bestFit="1" customWidth="1"/>
    <col min="2314" max="2315" width="16.140625" style="4" customWidth="1"/>
    <col min="2316" max="2316" width="14.85546875" style="4" customWidth="1"/>
    <col min="2317" max="2317" width="15.85546875" style="4" customWidth="1"/>
    <col min="2318" max="2318" width="14.5703125" style="4" bestFit="1" customWidth="1"/>
    <col min="2319" max="2560" width="11.42578125" style="4"/>
    <col min="2561" max="2561" width="2.5703125" style="4" customWidth="1"/>
    <col min="2562" max="2562" width="22.42578125" style="4" customWidth="1"/>
    <col min="2563" max="2563" width="13.5703125" style="4" customWidth="1"/>
    <col min="2564" max="2564" width="8.140625" style="4" customWidth="1"/>
    <col min="2565" max="2565" width="8.5703125" style="4" customWidth="1"/>
    <col min="2566" max="2566" width="17" style="4" bestFit="1" customWidth="1"/>
    <col min="2567" max="2567" width="16.7109375" style="4" bestFit="1" customWidth="1"/>
    <col min="2568" max="2568" width="18" style="4" bestFit="1" customWidth="1"/>
    <col min="2569" max="2569" width="17.7109375" style="4" bestFit="1" customWidth="1"/>
    <col min="2570" max="2571" width="16.140625" style="4" customWidth="1"/>
    <col min="2572" max="2572" width="14.85546875" style="4" customWidth="1"/>
    <col min="2573" max="2573" width="15.85546875" style="4" customWidth="1"/>
    <col min="2574" max="2574" width="14.5703125" style="4" bestFit="1" customWidth="1"/>
    <col min="2575" max="2816" width="11.42578125" style="4"/>
    <col min="2817" max="2817" width="2.5703125" style="4" customWidth="1"/>
    <col min="2818" max="2818" width="22.42578125" style="4" customWidth="1"/>
    <col min="2819" max="2819" width="13.5703125" style="4" customWidth="1"/>
    <col min="2820" max="2820" width="8.140625" style="4" customWidth="1"/>
    <col min="2821" max="2821" width="8.5703125" style="4" customWidth="1"/>
    <col min="2822" max="2822" width="17" style="4" bestFit="1" customWidth="1"/>
    <col min="2823" max="2823" width="16.7109375" style="4" bestFit="1" customWidth="1"/>
    <col min="2824" max="2824" width="18" style="4" bestFit="1" customWidth="1"/>
    <col min="2825" max="2825" width="17.7109375" style="4" bestFit="1" customWidth="1"/>
    <col min="2826" max="2827" width="16.140625" style="4" customWidth="1"/>
    <col min="2828" max="2828" width="14.85546875" style="4" customWidth="1"/>
    <col min="2829" max="2829" width="15.85546875" style="4" customWidth="1"/>
    <col min="2830" max="2830" width="14.5703125" style="4" bestFit="1" customWidth="1"/>
    <col min="2831" max="3072" width="11.42578125" style="4"/>
    <col min="3073" max="3073" width="2.5703125" style="4" customWidth="1"/>
    <col min="3074" max="3074" width="22.42578125" style="4" customWidth="1"/>
    <col min="3075" max="3075" width="13.5703125" style="4" customWidth="1"/>
    <col min="3076" max="3076" width="8.140625" style="4" customWidth="1"/>
    <col min="3077" max="3077" width="8.5703125" style="4" customWidth="1"/>
    <col min="3078" max="3078" width="17" style="4" bestFit="1" customWidth="1"/>
    <col min="3079" max="3079" width="16.7109375" style="4" bestFit="1" customWidth="1"/>
    <col min="3080" max="3080" width="18" style="4" bestFit="1" customWidth="1"/>
    <col min="3081" max="3081" width="17.7109375" style="4" bestFit="1" customWidth="1"/>
    <col min="3082" max="3083" width="16.140625" style="4" customWidth="1"/>
    <col min="3084" max="3084" width="14.85546875" style="4" customWidth="1"/>
    <col min="3085" max="3085" width="15.85546875" style="4" customWidth="1"/>
    <col min="3086" max="3086" width="14.5703125" style="4" bestFit="1" customWidth="1"/>
    <col min="3087" max="3328" width="11.42578125" style="4"/>
    <col min="3329" max="3329" width="2.5703125" style="4" customWidth="1"/>
    <col min="3330" max="3330" width="22.42578125" style="4" customWidth="1"/>
    <col min="3331" max="3331" width="13.5703125" style="4" customWidth="1"/>
    <col min="3332" max="3332" width="8.140625" style="4" customWidth="1"/>
    <col min="3333" max="3333" width="8.5703125" style="4" customWidth="1"/>
    <col min="3334" max="3334" width="17" style="4" bestFit="1" customWidth="1"/>
    <col min="3335" max="3335" width="16.7109375" style="4" bestFit="1" customWidth="1"/>
    <col min="3336" max="3336" width="18" style="4" bestFit="1" customWidth="1"/>
    <col min="3337" max="3337" width="17.7109375" style="4" bestFit="1" customWidth="1"/>
    <col min="3338" max="3339" width="16.140625" style="4" customWidth="1"/>
    <col min="3340" max="3340" width="14.85546875" style="4" customWidth="1"/>
    <col min="3341" max="3341" width="15.85546875" style="4" customWidth="1"/>
    <col min="3342" max="3342" width="14.5703125" style="4" bestFit="1" customWidth="1"/>
    <col min="3343" max="3584" width="11.42578125" style="4"/>
    <col min="3585" max="3585" width="2.5703125" style="4" customWidth="1"/>
    <col min="3586" max="3586" width="22.42578125" style="4" customWidth="1"/>
    <col min="3587" max="3587" width="13.5703125" style="4" customWidth="1"/>
    <col min="3588" max="3588" width="8.140625" style="4" customWidth="1"/>
    <col min="3589" max="3589" width="8.5703125" style="4" customWidth="1"/>
    <col min="3590" max="3590" width="17" style="4" bestFit="1" customWidth="1"/>
    <col min="3591" max="3591" width="16.7109375" style="4" bestFit="1" customWidth="1"/>
    <col min="3592" max="3592" width="18" style="4" bestFit="1" customWidth="1"/>
    <col min="3593" max="3593" width="17.7109375" style="4" bestFit="1" customWidth="1"/>
    <col min="3594" max="3595" width="16.140625" style="4" customWidth="1"/>
    <col min="3596" max="3596" width="14.85546875" style="4" customWidth="1"/>
    <col min="3597" max="3597" width="15.85546875" style="4" customWidth="1"/>
    <col min="3598" max="3598" width="14.5703125" style="4" bestFit="1" customWidth="1"/>
    <col min="3599" max="3840" width="11.42578125" style="4"/>
    <col min="3841" max="3841" width="2.5703125" style="4" customWidth="1"/>
    <col min="3842" max="3842" width="22.42578125" style="4" customWidth="1"/>
    <col min="3843" max="3843" width="13.5703125" style="4" customWidth="1"/>
    <col min="3844" max="3844" width="8.140625" style="4" customWidth="1"/>
    <col min="3845" max="3845" width="8.5703125" style="4" customWidth="1"/>
    <col min="3846" max="3846" width="17" style="4" bestFit="1" customWidth="1"/>
    <col min="3847" max="3847" width="16.7109375" style="4" bestFit="1" customWidth="1"/>
    <col min="3848" max="3848" width="18" style="4" bestFit="1" customWidth="1"/>
    <col min="3849" max="3849" width="17.7109375" style="4" bestFit="1" customWidth="1"/>
    <col min="3850" max="3851" width="16.140625" style="4" customWidth="1"/>
    <col min="3852" max="3852" width="14.85546875" style="4" customWidth="1"/>
    <col min="3853" max="3853" width="15.85546875" style="4" customWidth="1"/>
    <col min="3854" max="3854" width="14.5703125" style="4" bestFit="1" customWidth="1"/>
    <col min="3855" max="4096" width="11.42578125" style="4"/>
    <col min="4097" max="4097" width="2.5703125" style="4" customWidth="1"/>
    <col min="4098" max="4098" width="22.42578125" style="4" customWidth="1"/>
    <col min="4099" max="4099" width="13.5703125" style="4" customWidth="1"/>
    <col min="4100" max="4100" width="8.140625" style="4" customWidth="1"/>
    <col min="4101" max="4101" width="8.5703125" style="4" customWidth="1"/>
    <col min="4102" max="4102" width="17" style="4" bestFit="1" customWidth="1"/>
    <col min="4103" max="4103" width="16.7109375" style="4" bestFit="1" customWidth="1"/>
    <col min="4104" max="4104" width="18" style="4" bestFit="1" customWidth="1"/>
    <col min="4105" max="4105" width="17.7109375" style="4" bestFit="1" customWidth="1"/>
    <col min="4106" max="4107" width="16.140625" style="4" customWidth="1"/>
    <col min="4108" max="4108" width="14.85546875" style="4" customWidth="1"/>
    <col min="4109" max="4109" width="15.85546875" style="4" customWidth="1"/>
    <col min="4110" max="4110" width="14.5703125" style="4" bestFit="1" customWidth="1"/>
    <col min="4111" max="4352" width="11.42578125" style="4"/>
    <col min="4353" max="4353" width="2.5703125" style="4" customWidth="1"/>
    <col min="4354" max="4354" width="22.42578125" style="4" customWidth="1"/>
    <col min="4355" max="4355" width="13.5703125" style="4" customWidth="1"/>
    <col min="4356" max="4356" width="8.140625" style="4" customWidth="1"/>
    <col min="4357" max="4357" width="8.5703125" style="4" customWidth="1"/>
    <col min="4358" max="4358" width="17" style="4" bestFit="1" customWidth="1"/>
    <col min="4359" max="4359" width="16.7109375" style="4" bestFit="1" customWidth="1"/>
    <col min="4360" max="4360" width="18" style="4" bestFit="1" customWidth="1"/>
    <col min="4361" max="4361" width="17.7109375" style="4" bestFit="1" customWidth="1"/>
    <col min="4362" max="4363" width="16.140625" style="4" customWidth="1"/>
    <col min="4364" max="4364" width="14.85546875" style="4" customWidth="1"/>
    <col min="4365" max="4365" width="15.85546875" style="4" customWidth="1"/>
    <col min="4366" max="4366" width="14.5703125" style="4" bestFit="1" customWidth="1"/>
    <col min="4367" max="4608" width="11.42578125" style="4"/>
    <col min="4609" max="4609" width="2.5703125" style="4" customWidth="1"/>
    <col min="4610" max="4610" width="22.42578125" style="4" customWidth="1"/>
    <col min="4611" max="4611" width="13.5703125" style="4" customWidth="1"/>
    <col min="4612" max="4612" width="8.140625" style="4" customWidth="1"/>
    <col min="4613" max="4613" width="8.5703125" style="4" customWidth="1"/>
    <col min="4614" max="4614" width="17" style="4" bestFit="1" customWidth="1"/>
    <col min="4615" max="4615" width="16.7109375" style="4" bestFit="1" customWidth="1"/>
    <col min="4616" max="4616" width="18" style="4" bestFit="1" customWidth="1"/>
    <col min="4617" max="4617" width="17.7109375" style="4" bestFit="1" customWidth="1"/>
    <col min="4618" max="4619" width="16.140625" style="4" customWidth="1"/>
    <col min="4620" max="4620" width="14.85546875" style="4" customWidth="1"/>
    <col min="4621" max="4621" width="15.85546875" style="4" customWidth="1"/>
    <col min="4622" max="4622" width="14.5703125" style="4" bestFit="1" customWidth="1"/>
    <col min="4623" max="4864" width="11.42578125" style="4"/>
    <col min="4865" max="4865" width="2.5703125" style="4" customWidth="1"/>
    <col min="4866" max="4866" width="22.42578125" style="4" customWidth="1"/>
    <col min="4867" max="4867" width="13.5703125" style="4" customWidth="1"/>
    <col min="4868" max="4868" width="8.140625" style="4" customWidth="1"/>
    <col min="4869" max="4869" width="8.5703125" style="4" customWidth="1"/>
    <col min="4870" max="4870" width="17" style="4" bestFit="1" customWidth="1"/>
    <col min="4871" max="4871" width="16.7109375" style="4" bestFit="1" customWidth="1"/>
    <col min="4872" max="4872" width="18" style="4" bestFit="1" customWidth="1"/>
    <col min="4873" max="4873" width="17.7109375" style="4" bestFit="1" customWidth="1"/>
    <col min="4874" max="4875" width="16.140625" style="4" customWidth="1"/>
    <col min="4876" max="4876" width="14.85546875" style="4" customWidth="1"/>
    <col min="4877" max="4877" width="15.85546875" style="4" customWidth="1"/>
    <col min="4878" max="4878" width="14.5703125" style="4" bestFit="1" customWidth="1"/>
    <col min="4879" max="5120" width="11.42578125" style="4"/>
    <col min="5121" max="5121" width="2.5703125" style="4" customWidth="1"/>
    <col min="5122" max="5122" width="22.42578125" style="4" customWidth="1"/>
    <col min="5123" max="5123" width="13.5703125" style="4" customWidth="1"/>
    <col min="5124" max="5124" width="8.140625" style="4" customWidth="1"/>
    <col min="5125" max="5125" width="8.5703125" style="4" customWidth="1"/>
    <col min="5126" max="5126" width="17" style="4" bestFit="1" customWidth="1"/>
    <col min="5127" max="5127" width="16.7109375" style="4" bestFit="1" customWidth="1"/>
    <col min="5128" max="5128" width="18" style="4" bestFit="1" customWidth="1"/>
    <col min="5129" max="5129" width="17.7109375" style="4" bestFit="1" customWidth="1"/>
    <col min="5130" max="5131" width="16.140625" style="4" customWidth="1"/>
    <col min="5132" max="5132" width="14.85546875" style="4" customWidth="1"/>
    <col min="5133" max="5133" width="15.85546875" style="4" customWidth="1"/>
    <col min="5134" max="5134" width="14.5703125" style="4" bestFit="1" customWidth="1"/>
    <col min="5135" max="5376" width="11.42578125" style="4"/>
    <col min="5377" max="5377" width="2.5703125" style="4" customWidth="1"/>
    <col min="5378" max="5378" width="22.42578125" style="4" customWidth="1"/>
    <col min="5379" max="5379" width="13.5703125" style="4" customWidth="1"/>
    <col min="5380" max="5380" width="8.140625" style="4" customWidth="1"/>
    <col min="5381" max="5381" width="8.5703125" style="4" customWidth="1"/>
    <col min="5382" max="5382" width="17" style="4" bestFit="1" customWidth="1"/>
    <col min="5383" max="5383" width="16.7109375" style="4" bestFit="1" customWidth="1"/>
    <col min="5384" max="5384" width="18" style="4" bestFit="1" customWidth="1"/>
    <col min="5385" max="5385" width="17.7109375" style="4" bestFit="1" customWidth="1"/>
    <col min="5386" max="5387" width="16.140625" style="4" customWidth="1"/>
    <col min="5388" max="5388" width="14.85546875" style="4" customWidth="1"/>
    <col min="5389" max="5389" width="15.85546875" style="4" customWidth="1"/>
    <col min="5390" max="5390" width="14.5703125" style="4" bestFit="1" customWidth="1"/>
    <col min="5391" max="5632" width="11.42578125" style="4"/>
    <col min="5633" max="5633" width="2.5703125" style="4" customWidth="1"/>
    <col min="5634" max="5634" width="22.42578125" style="4" customWidth="1"/>
    <col min="5635" max="5635" width="13.5703125" style="4" customWidth="1"/>
    <col min="5636" max="5636" width="8.140625" style="4" customWidth="1"/>
    <col min="5637" max="5637" width="8.5703125" style="4" customWidth="1"/>
    <col min="5638" max="5638" width="17" style="4" bestFit="1" customWidth="1"/>
    <col min="5639" max="5639" width="16.7109375" style="4" bestFit="1" customWidth="1"/>
    <col min="5640" max="5640" width="18" style="4" bestFit="1" customWidth="1"/>
    <col min="5641" max="5641" width="17.7109375" style="4" bestFit="1" customWidth="1"/>
    <col min="5642" max="5643" width="16.140625" style="4" customWidth="1"/>
    <col min="5644" max="5644" width="14.85546875" style="4" customWidth="1"/>
    <col min="5645" max="5645" width="15.85546875" style="4" customWidth="1"/>
    <col min="5646" max="5646" width="14.5703125" style="4" bestFit="1" customWidth="1"/>
    <col min="5647" max="5888" width="11.42578125" style="4"/>
    <col min="5889" max="5889" width="2.5703125" style="4" customWidth="1"/>
    <col min="5890" max="5890" width="22.42578125" style="4" customWidth="1"/>
    <col min="5891" max="5891" width="13.5703125" style="4" customWidth="1"/>
    <col min="5892" max="5892" width="8.140625" style="4" customWidth="1"/>
    <col min="5893" max="5893" width="8.5703125" style="4" customWidth="1"/>
    <col min="5894" max="5894" width="17" style="4" bestFit="1" customWidth="1"/>
    <col min="5895" max="5895" width="16.7109375" style="4" bestFit="1" customWidth="1"/>
    <col min="5896" max="5896" width="18" style="4" bestFit="1" customWidth="1"/>
    <col min="5897" max="5897" width="17.7109375" style="4" bestFit="1" customWidth="1"/>
    <col min="5898" max="5899" width="16.140625" style="4" customWidth="1"/>
    <col min="5900" max="5900" width="14.85546875" style="4" customWidth="1"/>
    <col min="5901" max="5901" width="15.85546875" style="4" customWidth="1"/>
    <col min="5902" max="5902" width="14.5703125" style="4" bestFit="1" customWidth="1"/>
    <col min="5903" max="6144" width="11.42578125" style="4"/>
    <col min="6145" max="6145" width="2.5703125" style="4" customWidth="1"/>
    <col min="6146" max="6146" width="22.42578125" style="4" customWidth="1"/>
    <col min="6147" max="6147" width="13.5703125" style="4" customWidth="1"/>
    <col min="6148" max="6148" width="8.140625" style="4" customWidth="1"/>
    <col min="6149" max="6149" width="8.5703125" style="4" customWidth="1"/>
    <col min="6150" max="6150" width="17" style="4" bestFit="1" customWidth="1"/>
    <col min="6151" max="6151" width="16.7109375" style="4" bestFit="1" customWidth="1"/>
    <col min="6152" max="6152" width="18" style="4" bestFit="1" customWidth="1"/>
    <col min="6153" max="6153" width="17.7109375" style="4" bestFit="1" customWidth="1"/>
    <col min="6154" max="6155" width="16.140625" style="4" customWidth="1"/>
    <col min="6156" max="6156" width="14.85546875" style="4" customWidth="1"/>
    <col min="6157" max="6157" width="15.85546875" style="4" customWidth="1"/>
    <col min="6158" max="6158" width="14.5703125" style="4" bestFit="1" customWidth="1"/>
    <col min="6159" max="6400" width="11.42578125" style="4"/>
    <col min="6401" max="6401" width="2.5703125" style="4" customWidth="1"/>
    <col min="6402" max="6402" width="22.42578125" style="4" customWidth="1"/>
    <col min="6403" max="6403" width="13.5703125" style="4" customWidth="1"/>
    <col min="6404" max="6404" width="8.140625" style="4" customWidth="1"/>
    <col min="6405" max="6405" width="8.5703125" style="4" customWidth="1"/>
    <col min="6406" max="6406" width="17" style="4" bestFit="1" customWidth="1"/>
    <col min="6407" max="6407" width="16.7109375" style="4" bestFit="1" customWidth="1"/>
    <col min="6408" max="6408" width="18" style="4" bestFit="1" customWidth="1"/>
    <col min="6409" max="6409" width="17.7109375" style="4" bestFit="1" customWidth="1"/>
    <col min="6410" max="6411" width="16.140625" style="4" customWidth="1"/>
    <col min="6412" max="6412" width="14.85546875" style="4" customWidth="1"/>
    <col min="6413" max="6413" width="15.85546875" style="4" customWidth="1"/>
    <col min="6414" max="6414" width="14.5703125" style="4" bestFit="1" customWidth="1"/>
    <col min="6415" max="6656" width="11.42578125" style="4"/>
    <col min="6657" max="6657" width="2.5703125" style="4" customWidth="1"/>
    <col min="6658" max="6658" width="22.42578125" style="4" customWidth="1"/>
    <col min="6659" max="6659" width="13.5703125" style="4" customWidth="1"/>
    <col min="6660" max="6660" width="8.140625" style="4" customWidth="1"/>
    <col min="6661" max="6661" width="8.5703125" style="4" customWidth="1"/>
    <col min="6662" max="6662" width="17" style="4" bestFit="1" customWidth="1"/>
    <col min="6663" max="6663" width="16.7109375" style="4" bestFit="1" customWidth="1"/>
    <col min="6664" max="6664" width="18" style="4" bestFit="1" customWidth="1"/>
    <col min="6665" max="6665" width="17.7109375" style="4" bestFit="1" customWidth="1"/>
    <col min="6666" max="6667" width="16.140625" style="4" customWidth="1"/>
    <col min="6668" max="6668" width="14.85546875" style="4" customWidth="1"/>
    <col min="6669" max="6669" width="15.85546875" style="4" customWidth="1"/>
    <col min="6670" max="6670" width="14.5703125" style="4" bestFit="1" customWidth="1"/>
    <col min="6671" max="6912" width="11.42578125" style="4"/>
    <col min="6913" max="6913" width="2.5703125" style="4" customWidth="1"/>
    <col min="6914" max="6914" width="22.42578125" style="4" customWidth="1"/>
    <col min="6915" max="6915" width="13.5703125" style="4" customWidth="1"/>
    <col min="6916" max="6916" width="8.140625" style="4" customWidth="1"/>
    <col min="6917" max="6917" width="8.5703125" style="4" customWidth="1"/>
    <col min="6918" max="6918" width="17" style="4" bestFit="1" customWidth="1"/>
    <col min="6919" max="6919" width="16.7109375" style="4" bestFit="1" customWidth="1"/>
    <col min="6920" max="6920" width="18" style="4" bestFit="1" customWidth="1"/>
    <col min="6921" max="6921" width="17.7109375" style="4" bestFit="1" customWidth="1"/>
    <col min="6922" max="6923" width="16.140625" style="4" customWidth="1"/>
    <col min="6924" max="6924" width="14.85546875" style="4" customWidth="1"/>
    <col min="6925" max="6925" width="15.85546875" style="4" customWidth="1"/>
    <col min="6926" max="6926" width="14.5703125" style="4" bestFit="1" customWidth="1"/>
    <col min="6927" max="7168" width="11.42578125" style="4"/>
    <col min="7169" max="7169" width="2.5703125" style="4" customWidth="1"/>
    <col min="7170" max="7170" width="22.42578125" style="4" customWidth="1"/>
    <col min="7171" max="7171" width="13.5703125" style="4" customWidth="1"/>
    <col min="7172" max="7172" width="8.140625" style="4" customWidth="1"/>
    <col min="7173" max="7173" width="8.5703125" style="4" customWidth="1"/>
    <col min="7174" max="7174" width="17" style="4" bestFit="1" customWidth="1"/>
    <col min="7175" max="7175" width="16.7109375" style="4" bestFit="1" customWidth="1"/>
    <col min="7176" max="7176" width="18" style="4" bestFit="1" customWidth="1"/>
    <col min="7177" max="7177" width="17.7109375" style="4" bestFit="1" customWidth="1"/>
    <col min="7178" max="7179" width="16.140625" style="4" customWidth="1"/>
    <col min="7180" max="7180" width="14.85546875" style="4" customWidth="1"/>
    <col min="7181" max="7181" width="15.85546875" style="4" customWidth="1"/>
    <col min="7182" max="7182" width="14.5703125" style="4" bestFit="1" customWidth="1"/>
    <col min="7183" max="7424" width="11.42578125" style="4"/>
    <col min="7425" max="7425" width="2.5703125" style="4" customWidth="1"/>
    <col min="7426" max="7426" width="22.42578125" style="4" customWidth="1"/>
    <col min="7427" max="7427" width="13.5703125" style="4" customWidth="1"/>
    <col min="7428" max="7428" width="8.140625" style="4" customWidth="1"/>
    <col min="7429" max="7429" width="8.5703125" style="4" customWidth="1"/>
    <col min="7430" max="7430" width="17" style="4" bestFit="1" customWidth="1"/>
    <col min="7431" max="7431" width="16.7109375" style="4" bestFit="1" customWidth="1"/>
    <col min="7432" max="7432" width="18" style="4" bestFit="1" customWidth="1"/>
    <col min="7433" max="7433" width="17.7109375" style="4" bestFit="1" customWidth="1"/>
    <col min="7434" max="7435" width="16.140625" style="4" customWidth="1"/>
    <col min="7436" max="7436" width="14.85546875" style="4" customWidth="1"/>
    <col min="7437" max="7437" width="15.85546875" style="4" customWidth="1"/>
    <col min="7438" max="7438" width="14.5703125" style="4" bestFit="1" customWidth="1"/>
    <col min="7439" max="7680" width="11.42578125" style="4"/>
    <col min="7681" max="7681" width="2.5703125" style="4" customWidth="1"/>
    <col min="7682" max="7682" width="22.42578125" style="4" customWidth="1"/>
    <col min="7683" max="7683" width="13.5703125" style="4" customWidth="1"/>
    <col min="7684" max="7684" width="8.140625" style="4" customWidth="1"/>
    <col min="7685" max="7685" width="8.5703125" style="4" customWidth="1"/>
    <col min="7686" max="7686" width="17" style="4" bestFit="1" customWidth="1"/>
    <col min="7687" max="7687" width="16.7109375" style="4" bestFit="1" customWidth="1"/>
    <col min="7688" max="7688" width="18" style="4" bestFit="1" customWidth="1"/>
    <col min="7689" max="7689" width="17.7109375" style="4" bestFit="1" customWidth="1"/>
    <col min="7690" max="7691" width="16.140625" style="4" customWidth="1"/>
    <col min="7692" max="7692" width="14.85546875" style="4" customWidth="1"/>
    <col min="7693" max="7693" width="15.85546875" style="4" customWidth="1"/>
    <col min="7694" max="7694" width="14.5703125" style="4" bestFit="1" customWidth="1"/>
    <col min="7695" max="7936" width="11.42578125" style="4"/>
    <col min="7937" max="7937" width="2.5703125" style="4" customWidth="1"/>
    <col min="7938" max="7938" width="22.42578125" style="4" customWidth="1"/>
    <col min="7939" max="7939" width="13.5703125" style="4" customWidth="1"/>
    <col min="7940" max="7940" width="8.140625" style="4" customWidth="1"/>
    <col min="7941" max="7941" width="8.5703125" style="4" customWidth="1"/>
    <col min="7942" max="7942" width="17" style="4" bestFit="1" customWidth="1"/>
    <col min="7943" max="7943" width="16.7109375" style="4" bestFit="1" customWidth="1"/>
    <col min="7944" max="7944" width="18" style="4" bestFit="1" customWidth="1"/>
    <col min="7945" max="7945" width="17.7109375" style="4" bestFit="1" customWidth="1"/>
    <col min="7946" max="7947" width="16.140625" style="4" customWidth="1"/>
    <col min="7948" max="7948" width="14.85546875" style="4" customWidth="1"/>
    <col min="7949" max="7949" width="15.85546875" style="4" customWidth="1"/>
    <col min="7950" max="7950" width="14.5703125" style="4" bestFit="1" customWidth="1"/>
    <col min="7951" max="8192" width="11.42578125" style="4"/>
    <col min="8193" max="8193" width="2.5703125" style="4" customWidth="1"/>
    <col min="8194" max="8194" width="22.42578125" style="4" customWidth="1"/>
    <col min="8195" max="8195" width="13.5703125" style="4" customWidth="1"/>
    <col min="8196" max="8196" width="8.140625" style="4" customWidth="1"/>
    <col min="8197" max="8197" width="8.5703125" style="4" customWidth="1"/>
    <col min="8198" max="8198" width="17" style="4" bestFit="1" customWidth="1"/>
    <col min="8199" max="8199" width="16.7109375" style="4" bestFit="1" customWidth="1"/>
    <col min="8200" max="8200" width="18" style="4" bestFit="1" customWidth="1"/>
    <col min="8201" max="8201" width="17.7109375" style="4" bestFit="1" customWidth="1"/>
    <col min="8202" max="8203" width="16.140625" style="4" customWidth="1"/>
    <col min="8204" max="8204" width="14.85546875" style="4" customWidth="1"/>
    <col min="8205" max="8205" width="15.85546875" style="4" customWidth="1"/>
    <col min="8206" max="8206" width="14.5703125" style="4" bestFit="1" customWidth="1"/>
    <col min="8207" max="8448" width="11.42578125" style="4"/>
    <col min="8449" max="8449" width="2.5703125" style="4" customWidth="1"/>
    <col min="8450" max="8450" width="22.42578125" style="4" customWidth="1"/>
    <col min="8451" max="8451" width="13.5703125" style="4" customWidth="1"/>
    <col min="8452" max="8452" width="8.140625" style="4" customWidth="1"/>
    <col min="8453" max="8453" width="8.5703125" style="4" customWidth="1"/>
    <col min="8454" max="8454" width="17" style="4" bestFit="1" customWidth="1"/>
    <col min="8455" max="8455" width="16.7109375" style="4" bestFit="1" customWidth="1"/>
    <col min="8456" max="8456" width="18" style="4" bestFit="1" customWidth="1"/>
    <col min="8457" max="8457" width="17.7109375" style="4" bestFit="1" customWidth="1"/>
    <col min="8458" max="8459" width="16.140625" style="4" customWidth="1"/>
    <col min="8460" max="8460" width="14.85546875" style="4" customWidth="1"/>
    <col min="8461" max="8461" width="15.85546875" style="4" customWidth="1"/>
    <col min="8462" max="8462" width="14.5703125" style="4" bestFit="1" customWidth="1"/>
    <col min="8463" max="8704" width="11.42578125" style="4"/>
    <col min="8705" max="8705" width="2.5703125" style="4" customWidth="1"/>
    <col min="8706" max="8706" width="22.42578125" style="4" customWidth="1"/>
    <col min="8707" max="8707" width="13.5703125" style="4" customWidth="1"/>
    <col min="8708" max="8708" width="8.140625" style="4" customWidth="1"/>
    <col min="8709" max="8709" width="8.5703125" style="4" customWidth="1"/>
    <col min="8710" max="8710" width="17" style="4" bestFit="1" customWidth="1"/>
    <col min="8711" max="8711" width="16.7109375" style="4" bestFit="1" customWidth="1"/>
    <col min="8712" max="8712" width="18" style="4" bestFit="1" customWidth="1"/>
    <col min="8713" max="8713" width="17.7109375" style="4" bestFit="1" customWidth="1"/>
    <col min="8714" max="8715" width="16.140625" style="4" customWidth="1"/>
    <col min="8716" max="8716" width="14.85546875" style="4" customWidth="1"/>
    <col min="8717" max="8717" width="15.85546875" style="4" customWidth="1"/>
    <col min="8718" max="8718" width="14.5703125" style="4" bestFit="1" customWidth="1"/>
    <col min="8719" max="8960" width="11.42578125" style="4"/>
    <col min="8961" max="8961" width="2.5703125" style="4" customWidth="1"/>
    <col min="8962" max="8962" width="22.42578125" style="4" customWidth="1"/>
    <col min="8963" max="8963" width="13.5703125" style="4" customWidth="1"/>
    <col min="8964" max="8964" width="8.140625" style="4" customWidth="1"/>
    <col min="8965" max="8965" width="8.5703125" style="4" customWidth="1"/>
    <col min="8966" max="8966" width="17" style="4" bestFit="1" customWidth="1"/>
    <col min="8967" max="8967" width="16.7109375" style="4" bestFit="1" customWidth="1"/>
    <col min="8968" max="8968" width="18" style="4" bestFit="1" customWidth="1"/>
    <col min="8969" max="8969" width="17.7109375" style="4" bestFit="1" customWidth="1"/>
    <col min="8970" max="8971" width="16.140625" style="4" customWidth="1"/>
    <col min="8972" max="8972" width="14.85546875" style="4" customWidth="1"/>
    <col min="8973" max="8973" width="15.85546875" style="4" customWidth="1"/>
    <col min="8974" max="8974" width="14.5703125" style="4" bestFit="1" customWidth="1"/>
    <col min="8975" max="9216" width="11.42578125" style="4"/>
    <col min="9217" max="9217" width="2.5703125" style="4" customWidth="1"/>
    <col min="9218" max="9218" width="22.42578125" style="4" customWidth="1"/>
    <col min="9219" max="9219" width="13.5703125" style="4" customWidth="1"/>
    <col min="9220" max="9220" width="8.140625" style="4" customWidth="1"/>
    <col min="9221" max="9221" width="8.5703125" style="4" customWidth="1"/>
    <col min="9222" max="9222" width="17" style="4" bestFit="1" customWidth="1"/>
    <col min="9223" max="9223" width="16.7109375" style="4" bestFit="1" customWidth="1"/>
    <col min="9224" max="9224" width="18" style="4" bestFit="1" customWidth="1"/>
    <col min="9225" max="9225" width="17.7109375" style="4" bestFit="1" customWidth="1"/>
    <col min="9226" max="9227" width="16.140625" style="4" customWidth="1"/>
    <col min="9228" max="9228" width="14.85546875" style="4" customWidth="1"/>
    <col min="9229" max="9229" width="15.85546875" style="4" customWidth="1"/>
    <col min="9230" max="9230" width="14.5703125" style="4" bestFit="1" customWidth="1"/>
    <col min="9231" max="9472" width="11.42578125" style="4"/>
    <col min="9473" max="9473" width="2.5703125" style="4" customWidth="1"/>
    <col min="9474" max="9474" width="22.42578125" style="4" customWidth="1"/>
    <col min="9475" max="9475" width="13.5703125" style="4" customWidth="1"/>
    <col min="9476" max="9476" width="8.140625" style="4" customWidth="1"/>
    <col min="9477" max="9477" width="8.5703125" style="4" customWidth="1"/>
    <col min="9478" max="9478" width="17" style="4" bestFit="1" customWidth="1"/>
    <col min="9479" max="9479" width="16.7109375" style="4" bestFit="1" customWidth="1"/>
    <col min="9480" max="9480" width="18" style="4" bestFit="1" customWidth="1"/>
    <col min="9481" max="9481" width="17.7109375" style="4" bestFit="1" customWidth="1"/>
    <col min="9482" max="9483" width="16.140625" style="4" customWidth="1"/>
    <col min="9484" max="9484" width="14.85546875" style="4" customWidth="1"/>
    <col min="9485" max="9485" width="15.85546875" style="4" customWidth="1"/>
    <col min="9486" max="9486" width="14.5703125" style="4" bestFit="1" customWidth="1"/>
    <col min="9487" max="9728" width="11.42578125" style="4"/>
    <col min="9729" max="9729" width="2.5703125" style="4" customWidth="1"/>
    <col min="9730" max="9730" width="22.42578125" style="4" customWidth="1"/>
    <col min="9731" max="9731" width="13.5703125" style="4" customWidth="1"/>
    <col min="9732" max="9732" width="8.140625" style="4" customWidth="1"/>
    <col min="9733" max="9733" width="8.5703125" style="4" customWidth="1"/>
    <col min="9734" max="9734" width="17" style="4" bestFit="1" customWidth="1"/>
    <col min="9735" max="9735" width="16.7109375" style="4" bestFit="1" customWidth="1"/>
    <col min="9736" max="9736" width="18" style="4" bestFit="1" customWidth="1"/>
    <col min="9737" max="9737" width="17.7109375" style="4" bestFit="1" customWidth="1"/>
    <col min="9738" max="9739" width="16.140625" style="4" customWidth="1"/>
    <col min="9740" max="9740" width="14.85546875" style="4" customWidth="1"/>
    <col min="9741" max="9741" width="15.85546875" style="4" customWidth="1"/>
    <col min="9742" max="9742" width="14.5703125" style="4" bestFit="1" customWidth="1"/>
    <col min="9743" max="9984" width="11.42578125" style="4"/>
    <col min="9985" max="9985" width="2.5703125" style="4" customWidth="1"/>
    <col min="9986" max="9986" width="22.42578125" style="4" customWidth="1"/>
    <col min="9987" max="9987" width="13.5703125" style="4" customWidth="1"/>
    <col min="9988" max="9988" width="8.140625" style="4" customWidth="1"/>
    <col min="9989" max="9989" width="8.5703125" style="4" customWidth="1"/>
    <col min="9990" max="9990" width="17" style="4" bestFit="1" customWidth="1"/>
    <col min="9991" max="9991" width="16.7109375" style="4" bestFit="1" customWidth="1"/>
    <col min="9992" max="9992" width="18" style="4" bestFit="1" customWidth="1"/>
    <col min="9993" max="9993" width="17.7109375" style="4" bestFit="1" customWidth="1"/>
    <col min="9994" max="9995" width="16.140625" style="4" customWidth="1"/>
    <col min="9996" max="9996" width="14.85546875" style="4" customWidth="1"/>
    <col min="9997" max="9997" width="15.85546875" style="4" customWidth="1"/>
    <col min="9998" max="9998" width="14.5703125" style="4" bestFit="1" customWidth="1"/>
    <col min="9999" max="10240" width="11.42578125" style="4"/>
    <col min="10241" max="10241" width="2.5703125" style="4" customWidth="1"/>
    <col min="10242" max="10242" width="22.42578125" style="4" customWidth="1"/>
    <col min="10243" max="10243" width="13.5703125" style="4" customWidth="1"/>
    <col min="10244" max="10244" width="8.140625" style="4" customWidth="1"/>
    <col min="10245" max="10245" width="8.5703125" style="4" customWidth="1"/>
    <col min="10246" max="10246" width="17" style="4" bestFit="1" customWidth="1"/>
    <col min="10247" max="10247" width="16.7109375" style="4" bestFit="1" customWidth="1"/>
    <col min="10248" max="10248" width="18" style="4" bestFit="1" customWidth="1"/>
    <col min="10249" max="10249" width="17.7109375" style="4" bestFit="1" customWidth="1"/>
    <col min="10250" max="10251" width="16.140625" style="4" customWidth="1"/>
    <col min="10252" max="10252" width="14.85546875" style="4" customWidth="1"/>
    <col min="10253" max="10253" width="15.85546875" style="4" customWidth="1"/>
    <col min="10254" max="10254" width="14.5703125" style="4" bestFit="1" customWidth="1"/>
    <col min="10255" max="10496" width="11.42578125" style="4"/>
    <col min="10497" max="10497" width="2.5703125" style="4" customWidth="1"/>
    <col min="10498" max="10498" width="22.42578125" style="4" customWidth="1"/>
    <col min="10499" max="10499" width="13.5703125" style="4" customWidth="1"/>
    <col min="10500" max="10500" width="8.140625" style="4" customWidth="1"/>
    <col min="10501" max="10501" width="8.5703125" style="4" customWidth="1"/>
    <col min="10502" max="10502" width="17" style="4" bestFit="1" customWidth="1"/>
    <col min="10503" max="10503" width="16.7109375" style="4" bestFit="1" customWidth="1"/>
    <col min="10504" max="10504" width="18" style="4" bestFit="1" customWidth="1"/>
    <col min="10505" max="10505" width="17.7109375" style="4" bestFit="1" customWidth="1"/>
    <col min="10506" max="10507" width="16.140625" style="4" customWidth="1"/>
    <col min="10508" max="10508" width="14.85546875" style="4" customWidth="1"/>
    <col min="10509" max="10509" width="15.85546875" style="4" customWidth="1"/>
    <col min="10510" max="10510" width="14.5703125" style="4" bestFit="1" customWidth="1"/>
    <col min="10511" max="10752" width="11.42578125" style="4"/>
    <col min="10753" max="10753" width="2.5703125" style="4" customWidth="1"/>
    <col min="10754" max="10754" width="22.42578125" style="4" customWidth="1"/>
    <col min="10755" max="10755" width="13.5703125" style="4" customWidth="1"/>
    <col min="10756" max="10756" width="8.140625" style="4" customWidth="1"/>
    <col min="10757" max="10757" width="8.5703125" style="4" customWidth="1"/>
    <col min="10758" max="10758" width="17" style="4" bestFit="1" customWidth="1"/>
    <col min="10759" max="10759" width="16.7109375" style="4" bestFit="1" customWidth="1"/>
    <col min="10760" max="10760" width="18" style="4" bestFit="1" customWidth="1"/>
    <col min="10761" max="10761" width="17.7109375" style="4" bestFit="1" customWidth="1"/>
    <col min="10762" max="10763" width="16.140625" style="4" customWidth="1"/>
    <col min="10764" max="10764" width="14.85546875" style="4" customWidth="1"/>
    <col min="10765" max="10765" width="15.85546875" style="4" customWidth="1"/>
    <col min="10766" max="10766" width="14.5703125" style="4" bestFit="1" customWidth="1"/>
    <col min="10767" max="11008" width="11.42578125" style="4"/>
    <col min="11009" max="11009" width="2.5703125" style="4" customWidth="1"/>
    <col min="11010" max="11010" width="22.42578125" style="4" customWidth="1"/>
    <col min="11011" max="11011" width="13.5703125" style="4" customWidth="1"/>
    <col min="11012" max="11012" width="8.140625" style="4" customWidth="1"/>
    <col min="11013" max="11013" width="8.5703125" style="4" customWidth="1"/>
    <col min="11014" max="11014" width="17" style="4" bestFit="1" customWidth="1"/>
    <col min="11015" max="11015" width="16.7109375" style="4" bestFit="1" customWidth="1"/>
    <col min="11016" max="11016" width="18" style="4" bestFit="1" customWidth="1"/>
    <col min="11017" max="11017" width="17.7109375" style="4" bestFit="1" customWidth="1"/>
    <col min="11018" max="11019" width="16.140625" style="4" customWidth="1"/>
    <col min="11020" max="11020" width="14.85546875" style="4" customWidth="1"/>
    <col min="11021" max="11021" width="15.85546875" style="4" customWidth="1"/>
    <col min="11022" max="11022" width="14.5703125" style="4" bestFit="1" customWidth="1"/>
    <col min="11023" max="11264" width="11.42578125" style="4"/>
    <col min="11265" max="11265" width="2.5703125" style="4" customWidth="1"/>
    <col min="11266" max="11266" width="22.42578125" style="4" customWidth="1"/>
    <col min="11267" max="11267" width="13.5703125" style="4" customWidth="1"/>
    <col min="11268" max="11268" width="8.140625" style="4" customWidth="1"/>
    <col min="11269" max="11269" width="8.5703125" style="4" customWidth="1"/>
    <col min="11270" max="11270" width="17" style="4" bestFit="1" customWidth="1"/>
    <col min="11271" max="11271" width="16.7109375" style="4" bestFit="1" customWidth="1"/>
    <col min="11272" max="11272" width="18" style="4" bestFit="1" customWidth="1"/>
    <col min="11273" max="11273" width="17.7109375" style="4" bestFit="1" customWidth="1"/>
    <col min="11274" max="11275" width="16.140625" style="4" customWidth="1"/>
    <col min="11276" max="11276" width="14.85546875" style="4" customWidth="1"/>
    <col min="11277" max="11277" width="15.85546875" style="4" customWidth="1"/>
    <col min="11278" max="11278" width="14.5703125" style="4" bestFit="1" customWidth="1"/>
    <col min="11279" max="11520" width="11.42578125" style="4"/>
    <col min="11521" max="11521" width="2.5703125" style="4" customWidth="1"/>
    <col min="11522" max="11522" width="22.42578125" style="4" customWidth="1"/>
    <col min="11523" max="11523" width="13.5703125" style="4" customWidth="1"/>
    <col min="11524" max="11524" width="8.140625" style="4" customWidth="1"/>
    <col min="11525" max="11525" width="8.5703125" style="4" customWidth="1"/>
    <col min="11526" max="11526" width="17" style="4" bestFit="1" customWidth="1"/>
    <col min="11527" max="11527" width="16.7109375" style="4" bestFit="1" customWidth="1"/>
    <col min="11528" max="11528" width="18" style="4" bestFit="1" customWidth="1"/>
    <col min="11529" max="11529" width="17.7109375" style="4" bestFit="1" customWidth="1"/>
    <col min="11530" max="11531" width="16.140625" style="4" customWidth="1"/>
    <col min="11532" max="11532" width="14.85546875" style="4" customWidth="1"/>
    <col min="11533" max="11533" width="15.85546875" style="4" customWidth="1"/>
    <col min="11534" max="11534" width="14.5703125" style="4" bestFit="1" customWidth="1"/>
    <col min="11535" max="11776" width="11.42578125" style="4"/>
    <col min="11777" max="11777" width="2.5703125" style="4" customWidth="1"/>
    <col min="11778" max="11778" width="22.42578125" style="4" customWidth="1"/>
    <col min="11779" max="11779" width="13.5703125" style="4" customWidth="1"/>
    <col min="11780" max="11780" width="8.140625" style="4" customWidth="1"/>
    <col min="11781" max="11781" width="8.5703125" style="4" customWidth="1"/>
    <col min="11782" max="11782" width="17" style="4" bestFit="1" customWidth="1"/>
    <col min="11783" max="11783" width="16.7109375" style="4" bestFit="1" customWidth="1"/>
    <col min="11784" max="11784" width="18" style="4" bestFit="1" customWidth="1"/>
    <col min="11785" max="11785" width="17.7109375" style="4" bestFit="1" customWidth="1"/>
    <col min="11786" max="11787" width="16.140625" style="4" customWidth="1"/>
    <col min="11788" max="11788" width="14.85546875" style="4" customWidth="1"/>
    <col min="11789" max="11789" width="15.85546875" style="4" customWidth="1"/>
    <col min="11790" max="11790" width="14.5703125" style="4" bestFit="1" customWidth="1"/>
    <col min="11791" max="12032" width="11.42578125" style="4"/>
    <col min="12033" max="12033" width="2.5703125" style="4" customWidth="1"/>
    <col min="12034" max="12034" width="22.42578125" style="4" customWidth="1"/>
    <col min="12035" max="12035" width="13.5703125" style="4" customWidth="1"/>
    <col min="12036" max="12036" width="8.140625" style="4" customWidth="1"/>
    <col min="12037" max="12037" width="8.5703125" style="4" customWidth="1"/>
    <col min="12038" max="12038" width="17" style="4" bestFit="1" customWidth="1"/>
    <col min="12039" max="12039" width="16.7109375" style="4" bestFit="1" customWidth="1"/>
    <col min="12040" max="12040" width="18" style="4" bestFit="1" customWidth="1"/>
    <col min="12041" max="12041" width="17.7109375" style="4" bestFit="1" customWidth="1"/>
    <col min="12042" max="12043" width="16.140625" style="4" customWidth="1"/>
    <col min="12044" max="12044" width="14.85546875" style="4" customWidth="1"/>
    <col min="12045" max="12045" width="15.85546875" style="4" customWidth="1"/>
    <col min="12046" max="12046" width="14.5703125" style="4" bestFit="1" customWidth="1"/>
    <col min="12047" max="12288" width="11.42578125" style="4"/>
    <col min="12289" max="12289" width="2.5703125" style="4" customWidth="1"/>
    <col min="12290" max="12290" width="22.42578125" style="4" customWidth="1"/>
    <col min="12291" max="12291" width="13.5703125" style="4" customWidth="1"/>
    <col min="12292" max="12292" width="8.140625" style="4" customWidth="1"/>
    <col min="12293" max="12293" width="8.5703125" style="4" customWidth="1"/>
    <col min="12294" max="12294" width="17" style="4" bestFit="1" customWidth="1"/>
    <col min="12295" max="12295" width="16.7109375" style="4" bestFit="1" customWidth="1"/>
    <col min="12296" max="12296" width="18" style="4" bestFit="1" customWidth="1"/>
    <col min="12297" max="12297" width="17.7109375" style="4" bestFit="1" customWidth="1"/>
    <col min="12298" max="12299" width="16.140625" style="4" customWidth="1"/>
    <col min="12300" max="12300" width="14.85546875" style="4" customWidth="1"/>
    <col min="12301" max="12301" width="15.85546875" style="4" customWidth="1"/>
    <col min="12302" max="12302" width="14.5703125" style="4" bestFit="1" customWidth="1"/>
    <col min="12303" max="12544" width="11.42578125" style="4"/>
    <col min="12545" max="12545" width="2.5703125" style="4" customWidth="1"/>
    <col min="12546" max="12546" width="22.42578125" style="4" customWidth="1"/>
    <col min="12547" max="12547" width="13.5703125" style="4" customWidth="1"/>
    <col min="12548" max="12548" width="8.140625" style="4" customWidth="1"/>
    <col min="12549" max="12549" width="8.5703125" style="4" customWidth="1"/>
    <col min="12550" max="12550" width="17" style="4" bestFit="1" customWidth="1"/>
    <col min="12551" max="12551" width="16.7109375" style="4" bestFit="1" customWidth="1"/>
    <col min="12552" max="12552" width="18" style="4" bestFit="1" customWidth="1"/>
    <col min="12553" max="12553" width="17.7109375" style="4" bestFit="1" customWidth="1"/>
    <col min="12554" max="12555" width="16.140625" style="4" customWidth="1"/>
    <col min="12556" max="12556" width="14.85546875" style="4" customWidth="1"/>
    <col min="12557" max="12557" width="15.85546875" style="4" customWidth="1"/>
    <col min="12558" max="12558" width="14.5703125" style="4" bestFit="1" customWidth="1"/>
    <col min="12559" max="12800" width="11.42578125" style="4"/>
    <col min="12801" max="12801" width="2.5703125" style="4" customWidth="1"/>
    <col min="12802" max="12802" width="22.42578125" style="4" customWidth="1"/>
    <col min="12803" max="12803" width="13.5703125" style="4" customWidth="1"/>
    <col min="12804" max="12804" width="8.140625" style="4" customWidth="1"/>
    <col min="12805" max="12805" width="8.5703125" style="4" customWidth="1"/>
    <col min="12806" max="12806" width="17" style="4" bestFit="1" customWidth="1"/>
    <col min="12807" max="12807" width="16.7109375" style="4" bestFit="1" customWidth="1"/>
    <col min="12808" max="12808" width="18" style="4" bestFit="1" customWidth="1"/>
    <col min="12809" max="12809" width="17.7109375" style="4" bestFit="1" customWidth="1"/>
    <col min="12810" max="12811" width="16.140625" style="4" customWidth="1"/>
    <col min="12812" max="12812" width="14.85546875" style="4" customWidth="1"/>
    <col min="12813" max="12813" width="15.85546875" style="4" customWidth="1"/>
    <col min="12814" max="12814" width="14.5703125" style="4" bestFit="1" customWidth="1"/>
    <col min="12815" max="13056" width="11.42578125" style="4"/>
    <col min="13057" max="13057" width="2.5703125" style="4" customWidth="1"/>
    <col min="13058" max="13058" width="22.42578125" style="4" customWidth="1"/>
    <col min="13059" max="13059" width="13.5703125" style="4" customWidth="1"/>
    <col min="13060" max="13060" width="8.140625" style="4" customWidth="1"/>
    <col min="13061" max="13061" width="8.5703125" style="4" customWidth="1"/>
    <col min="13062" max="13062" width="17" style="4" bestFit="1" customWidth="1"/>
    <col min="13063" max="13063" width="16.7109375" style="4" bestFit="1" customWidth="1"/>
    <col min="13064" max="13064" width="18" style="4" bestFit="1" customWidth="1"/>
    <col min="13065" max="13065" width="17.7109375" style="4" bestFit="1" customWidth="1"/>
    <col min="13066" max="13067" width="16.140625" style="4" customWidth="1"/>
    <col min="13068" max="13068" width="14.85546875" style="4" customWidth="1"/>
    <col min="13069" max="13069" width="15.85546875" style="4" customWidth="1"/>
    <col min="13070" max="13070" width="14.5703125" style="4" bestFit="1" customWidth="1"/>
    <col min="13071" max="13312" width="11.42578125" style="4"/>
    <col min="13313" max="13313" width="2.5703125" style="4" customWidth="1"/>
    <col min="13314" max="13314" width="22.42578125" style="4" customWidth="1"/>
    <col min="13315" max="13315" width="13.5703125" style="4" customWidth="1"/>
    <col min="13316" max="13316" width="8.140625" style="4" customWidth="1"/>
    <col min="13317" max="13317" width="8.5703125" style="4" customWidth="1"/>
    <col min="13318" max="13318" width="17" style="4" bestFit="1" customWidth="1"/>
    <col min="13319" max="13319" width="16.7109375" style="4" bestFit="1" customWidth="1"/>
    <col min="13320" max="13320" width="18" style="4" bestFit="1" customWidth="1"/>
    <col min="13321" max="13321" width="17.7109375" style="4" bestFit="1" customWidth="1"/>
    <col min="13322" max="13323" width="16.140625" style="4" customWidth="1"/>
    <col min="13324" max="13324" width="14.85546875" style="4" customWidth="1"/>
    <col min="13325" max="13325" width="15.85546875" style="4" customWidth="1"/>
    <col min="13326" max="13326" width="14.5703125" style="4" bestFit="1" customWidth="1"/>
    <col min="13327" max="13568" width="11.42578125" style="4"/>
    <col min="13569" max="13569" width="2.5703125" style="4" customWidth="1"/>
    <col min="13570" max="13570" width="22.42578125" style="4" customWidth="1"/>
    <col min="13571" max="13571" width="13.5703125" style="4" customWidth="1"/>
    <col min="13572" max="13572" width="8.140625" style="4" customWidth="1"/>
    <col min="13573" max="13573" width="8.5703125" style="4" customWidth="1"/>
    <col min="13574" max="13574" width="17" style="4" bestFit="1" customWidth="1"/>
    <col min="13575" max="13575" width="16.7109375" style="4" bestFit="1" customWidth="1"/>
    <col min="13576" max="13576" width="18" style="4" bestFit="1" customWidth="1"/>
    <col min="13577" max="13577" width="17.7109375" style="4" bestFit="1" customWidth="1"/>
    <col min="13578" max="13579" width="16.140625" style="4" customWidth="1"/>
    <col min="13580" max="13580" width="14.85546875" style="4" customWidth="1"/>
    <col min="13581" max="13581" width="15.85546875" style="4" customWidth="1"/>
    <col min="13582" max="13582" width="14.5703125" style="4" bestFit="1" customWidth="1"/>
    <col min="13583" max="13824" width="11.42578125" style="4"/>
    <col min="13825" max="13825" width="2.5703125" style="4" customWidth="1"/>
    <col min="13826" max="13826" width="22.42578125" style="4" customWidth="1"/>
    <col min="13827" max="13827" width="13.5703125" style="4" customWidth="1"/>
    <col min="13828" max="13828" width="8.140625" style="4" customWidth="1"/>
    <col min="13829" max="13829" width="8.5703125" style="4" customWidth="1"/>
    <col min="13830" max="13830" width="17" style="4" bestFit="1" customWidth="1"/>
    <col min="13831" max="13831" width="16.7109375" style="4" bestFit="1" customWidth="1"/>
    <col min="13832" max="13832" width="18" style="4" bestFit="1" customWidth="1"/>
    <col min="13833" max="13833" width="17.7109375" style="4" bestFit="1" customWidth="1"/>
    <col min="13834" max="13835" width="16.140625" style="4" customWidth="1"/>
    <col min="13836" max="13836" width="14.85546875" style="4" customWidth="1"/>
    <col min="13837" max="13837" width="15.85546875" style="4" customWidth="1"/>
    <col min="13838" max="13838" width="14.5703125" style="4" bestFit="1" customWidth="1"/>
    <col min="13839" max="14080" width="11.42578125" style="4"/>
    <col min="14081" max="14081" width="2.5703125" style="4" customWidth="1"/>
    <col min="14082" max="14082" width="22.42578125" style="4" customWidth="1"/>
    <col min="14083" max="14083" width="13.5703125" style="4" customWidth="1"/>
    <col min="14084" max="14084" width="8.140625" style="4" customWidth="1"/>
    <col min="14085" max="14085" width="8.5703125" style="4" customWidth="1"/>
    <col min="14086" max="14086" width="17" style="4" bestFit="1" customWidth="1"/>
    <col min="14087" max="14087" width="16.7109375" style="4" bestFit="1" customWidth="1"/>
    <col min="14088" max="14088" width="18" style="4" bestFit="1" customWidth="1"/>
    <col min="14089" max="14089" width="17.7109375" style="4" bestFit="1" customWidth="1"/>
    <col min="14090" max="14091" width="16.140625" style="4" customWidth="1"/>
    <col min="14092" max="14092" width="14.85546875" style="4" customWidth="1"/>
    <col min="14093" max="14093" width="15.85546875" style="4" customWidth="1"/>
    <col min="14094" max="14094" width="14.5703125" style="4" bestFit="1" customWidth="1"/>
    <col min="14095" max="14336" width="11.42578125" style="4"/>
    <col min="14337" max="14337" width="2.5703125" style="4" customWidth="1"/>
    <col min="14338" max="14338" width="22.42578125" style="4" customWidth="1"/>
    <col min="14339" max="14339" width="13.5703125" style="4" customWidth="1"/>
    <col min="14340" max="14340" width="8.140625" style="4" customWidth="1"/>
    <col min="14341" max="14341" width="8.5703125" style="4" customWidth="1"/>
    <col min="14342" max="14342" width="17" style="4" bestFit="1" customWidth="1"/>
    <col min="14343" max="14343" width="16.7109375" style="4" bestFit="1" customWidth="1"/>
    <col min="14344" max="14344" width="18" style="4" bestFit="1" customWidth="1"/>
    <col min="14345" max="14345" width="17.7109375" style="4" bestFit="1" customWidth="1"/>
    <col min="14346" max="14347" width="16.140625" style="4" customWidth="1"/>
    <col min="14348" max="14348" width="14.85546875" style="4" customWidth="1"/>
    <col min="14349" max="14349" width="15.85546875" style="4" customWidth="1"/>
    <col min="14350" max="14350" width="14.5703125" style="4" bestFit="1" customWidth="1"/>
    <col min="14351" max="14592" width="11.42578125" style="4"/>
    <col min="14593" max="14593" width="2.5703125" style="4" customWidth="1"/>
    <col min="14594" max="14594" width="22.42578125" style="4" customWidth="1"/>
    <col min="14595" max="14595" width="13.5703125" style="4" customWidth="1"/>
    <col min="14596" max="14596" width="8.140625" style="4" customWidth="1"/>
    <col min="14597" max="14597" width="8.5703125" style="4" customWidth="1"/>
    <col min="14598" max="14598" width="17" style="4" bestFit="1" customWidth="1"/>
    <col min="14599" max="14599" width="16.7109375" style="4" bestFit="1" customWidth="1"/>
    <col min="14600" max="14600" width="18" style="4" bestFit="1" customWidth="1"/>
    <col min="14601" max="14601" width="17.7109375" style="4" bestFit="1" customWidth="1"/>
    <col min="14602" max="14603" width="16.140625" style="4" customWidth="1"/>
    <col min="14604" max="14604" width="14.85546875" style="4" customWidth="1"/>
    <col min="14605" max="14605" width="15.85546875" style="4" customWidth="1"/>
    <col min="14606" max="14606" width="14.5703125" style="4" bestFit="1" customWidth="1"/>
    <col min="14607" max="14848" width="11.42578125" style="4"/>
    <col min="14849" max="14849" width="2.5703125" style="4" customWidth="1"/>
    <col min="14850" max="14850" width="22.42578125" style="4" customWidth="1"/>
    <col min="14851" max="14851" width="13.5703125" style="4" customWidth="1"/>
    <col min="14852" max="14852" width="8.140625" style="4" customWidth="1"/>
    <col min="14853" max="14853" width="8.5703125" style="4" customWidth="1"/>
    <col min="14854" max="14854" width="17" style="4" bestFit="1" customWidth="1"/>
    <col min="14855" max="14855" width="16.7109375" style="4" bestFit="1" customWidth="1"/>
    <col min="14856" max="14856" width="18" style="4" bestFit="1" customWidth="1"/>
    <col min="14857" max="14857" width="17.7109375" style="4" bestFit="1" customWidth="1"/>
    <col min="14858" max="14859" width="16.140625" style="4" customWidth="1"/>
    <col min="14860" max="14860" width="14.85546875" style="4" customWidth="1"/>
    <col min="14861" max="14861" width="15.85546875" style="4" customWidth="1"/>
    <col min="14862" max="14862" width="14.5703125" style="4" bestFit="1" customWidth="1"/>
    <col min="14863" max="15104" width="11.42578125" style="4"/>
    <col min="15105" max="15105" width="2.5703125" style="4" customWidth="1"/>
    <col min="15106" max="15106" width="22.42578125" style="4" customWidth="1"/>
    <col min="15107" max="15107" width="13.5703125" style="4" customWidth="1"/>
    <col min="15108" max="15108" width="8.140625" style="4" customWidth="1"/>
    <col min="15109" max="15109" width="8.5703125" style="4" customWidth="1"/>
    <col min="15110" max="15110" width="17" style="4" bestFit="1" customWidth="1"/>
    <col min="15111" max="15111" width="16.7109375" style="4" bestFit="1" customWidth="1"/>
    <col min="15112" max="15112" width="18" style="4" bestFit="1" customWidth="1"/>
    <col min="15113" max="15113" width="17.7109375" style="4" bestFit="1" customWidth="1"/>
    <col min="15114" max="15115" width="16.140625" style="4" customWidth="1"/>
    <col min="15116" max="15116" width="14.85546875" style="4" customWidth="1"/>
    <col min="15117" max="15117" width="15.85546875" style="4" customWidth="1"/>
    <col min="15118" max="15118" width="14.5703125" style="4" bestFit="1" customWidth="1"/>
    <col min="15119" max="15360" width="11.42578125" style="4"/>
    <col min="15361" max="15361" width="2.5703125" style="4" customWidth="1"/>
    <col min="15362" max="15362" width="22.42578125" style="4" customWidth="1"/>
    <col min="15363" max="15363" width="13.5703125" style="4" customWidth="1"/>
    <col min="15364" max="15364" width="8.140625" style="4" customWidth="1"/>
    <col min="15365" max="15365" width="8.5703125" style="4" customWidth="1"/>
    <col min="15366" max="15366" width="17" style="4" bestFit="1" customWidth="1"/>
    <col min="15367" max="15367" width="16.7109375" style="4" bestFit="1" customWidth="1"/>
    <col min="15368" max="15368" width="18" style="4" bestFit="1" customWidth="1"/>
    <col min="15369" max="15369" width="17.7109375" style="4" bestFit="1" customWidth="1"/>
    <col min="15370" max="15371" width="16.140625" style="4" customWidth="1"/>
    <col min="15372" max="15372" width="14.85546875" style="4" customWidth="1"/>
    <col min="15373" max="15373" width="15.85546875" style="4" customWidth="1"/>
    <col min="15374" max="15374" width="14.5703125" style="4" bestFit="1" customWidth="1"/>
    <col min="15375" max="15616" width="11.42578125" style="4"/>
    <col min="15617" max="15617" width="2.5703125" style="4" customWidth="1"/>
    <col min="15618" max="15618" width="22.42578125" style="4" customWidth="1"/>
    <col min="15619" max="15619" width="13.5703125" style="4" customWidth="1"/>
    <col min="15620" max="15620" width="8.140625" style="4" customWidth="1"/>
    <col min="15621" max="15621" width="8.5703125" style="4" customWidth="1"/>
    <col min="15622" max="15622" width="17" style="4" bestFit="1" customWidth="1"/>
    <col min="15623" max="15623" width="16.7109375" style="4" bestFit="1" customWidth="1"/>
    <col min="15624" max="15624" width="18" style="4" bestFit="1" customWidth="1"/>
    <col min="15625" max="15625" width="17.7109375" style="4" bestFit="1" customWidth="1"/>
    <col min="15626" max="15627" width="16.140625" style="4" customWidth="1"/>
    <col min="15628" max="15628" width="14.85546875" style="4" customWidth="1"/>
    <col min="15629" max="15629" width="15.85546875" style="4" customWidth="1"/>
    <col min="15630" max="15630" width="14.5703125" style="4" bestFit="1" customWidth="1"/>
    <col min="15631" max="15872" width="11.42578125" style="4"/>
    <col min="15873" max="15873" width="2.5703125" style="4" customWidth="1"/>
    <col min="15874" max="15874" width="22.42578125" style="4" customWidth="1"/>
    <col min="15875" max="15875" width="13.5703125" style="4" customWidth="1"/>
    <col min="15876" max="15876" width="8.140625" style="4" customWidth="1"/>
    <col min="15877" max="15877" width="8.5703125" style="4" customWidth="1"/>
    <col min="15878" max="15878" width="17" style="4" bestFit="1" customWidth="1"/>
    <col min="15879" max="15879" width="16.7109375" style="4" bestFit="1" customWidth="1"/>
    <col min="15880" max="15880" width="18" style="4" bestFit="1" customWidth="1"/>
    <col min="15881" max="15881" width="17.7109375" style="4" bestFit="1" customWidth="1"/>
    <col min="15882" max="15883" width="16.140625" style="4" customWidth="1"/>
    <col min="15884" max="15884" width="14.85546875" style="4" customWidth="1"/>
    <col min="15885" max="15885" width="15.85546875" style="4" customWidth="1"/>
    <col min="15886" max="15886" width="14.5703125" style="4" bestFit="1" customWidth="1"/>
    <col min="15887" max="16128" width="11.42578125" style="4"/>
    <col min="16129" max="16129" width="2.5703125" style="4" customWidth="1"/>
    <col min="16130" max="16130" width="22.42578125" style="4" customWidth="1"/>
    <col min="16131" max="16131" width="13.5703125" style="4" customWidth="1"/>
    <col min="16132" max="16132" width="8.140625" style="4" customWidth="1"/>
    <col min="16133" max="16133" width="8.5703125" style="4" customWidth="1"/>
    <col min="16134" max="16134" width="17" style="4" bestFit="1" customWidth="1"/>
    <col min="16135" max="16135" width="16.7109375" style="4" bestFit="1" customWidth="1"/>
    <col min="16136" max="16136" width="18" style="4" bestFit="1" customWidth="1"/>
    <col min="16137" max="16137" width="17.7109375" style="4" bestFit="1" customWidth="1"/>
    <col min="16138" max="16139" width="16.140625" style="4" customWidth="1"/>
    <col min="16140" max="16140" width="14.85546875" style="4" customWidth="1"/>
    <col min="16141" max="16141" width="15.85546875" style="4" customWidth="1"/>
    <col min="16142" max="16142" width="14.5703125" style="4" bestFit="1" customWidth="1"/>
    <col min="16143" max="16384" width="11.42578125" style="4"/>
  </cols>
  <sheetData>
    <row r="1" spans="1:14" x14ac:dyDescent="0.2">
      <c r="A1" s="1" t="s">
        <v>0</v>
      </c>
      <c r="B1" s="1"/>
      <c r="C1" s="2"/>
      <c r="D1" s="2"/>
      <c r="E1" s="3"/>
    </row>
    <row r="2" spans="1:14" x14ac:dyDescent="0.2">
      <c r="A2" s="5" t="s">
        <v>1</v>
      </c>
      <c r="B2" s="5"/>
      <c r="C2" s="2"/>
      <c r="D2" s="2"/>
    </row>
    <row r="3" spans="1:14" x14ac:dyDescent="0.2">
      <c r="A3" s="6" t="s">
        <v>2</v>
      </c>
      <c r="B3" s="5"/>
      <c r="C3" s="2"/>
      <c r="D3" s="2"/>
      <c r="M3" s="7"/>
    </row>
    <row r="4" spans="1:14" x14ac:dyDescent="0.2">
      <c r="A4" s="8" t="s">
        <v>3</v>
      </c>
      <c r="B4" s="8"/>
      <c r="C4" s="9" t="s">
        <v>4</v>
      </c>
      <c r="D4" s="71" t="s">
        <v>5</v>
      </c>
      <c r="E4" s="71"/>
      <c r="F4" s="9" t="s">
        <v>6</v>
      </c>
      <c r="G4" s="10" t="s">
        <v>7</v>
      </c>
      <c r="H4" s="10" t="s">
        <v>8</v>
      </c>
      <c r="I4" s="9" t="s">
        <v>9</v>
      </c>
      <c r="J4" s="9" t="s">
        <v>10</v>
      </c>
      <c r="K4" s="9" t="s">
        <v>10</v>
      </c>
      <c r="L4" s="9" t="s">
        <v>10</v>
      </c>
      <c r="M4" s="9" t="s">
        <v>10</v>
      </c>
      <c r="N4" s="2" t="s">
        <v>11</v>
      </c>
    </row>
    <row r="5" spans="1:14" x14ac:dyDescent="0.2">
      <c r="C5" s="11" t="s">
        <v>12</v>
      </c>
      <c r="D5" s="12" t="s">
        <v>13</v>
      </c>
      <c r="E5" s="12" t="s">
        <v>14</v>
      </c>
      <c r="F5" s="11" t="s">
        <v>15</v>
      </c>
      <c r="G5" s="11" t="s">
        <v>16</v>
      </c>
      <c r="H5" s="12" t="s">
        <v>17</v>
      </c>
      <c r="I5" s="12" t="s">
        <v>18</v>
      </c>
      <c r="J5" s="12" t="s">
        <v>19</v>
      </c>
      <c r="K5" s="12" t="s">
        <v>20</v>
      </c>
      <c r="L5" s="13" t="s">
        <v>21</v>
      </c>
      <c r="M5" s="14" t="s">
        <v>22</v>
      </c>
      <c r="N5" s="2" t="s">
        <v>23</v>
      </c>
    </row>
    <row r="6" spans="1:14" x14ac:dyDescent="0.2">
      <c r="A6" s="7"/>
      <c r="B6" s="7"/>
      <c r="C6" s="7"/>
      <c r="D6" s="7"/>
      <c r="E6" s="7"/>
      <c r="F6" s="15" t="s">
        <v>24</v>
      </c>
      <c r="G6" s="16" t="s">
        <v>12</v>
      </c>
      <c r="H6" s="15" t="s">
        <v>24</v>
      </c>
      <c r="I6" s="17"/>
      <c r="J6" s="7"/>
      <c r="K6" s="7"/>
      <c r="L6" s="7"/>
      <c r="M6" s="7"/>
    </row>
    <row r="7" spans="1:14" x14ac:dyDescent="0.2">
      <c r="F7" s="11"/>
      <c r="G7" s="18"/>
      <c r="H7" s="11"/>
      <c r="I7" s="12"/>
    </row>
    <row r="8" spans="1:14" x14ac:dyDescent="0.2">
      <c r="A8" s="72" t="s">
        <v>25</v>
      </c>
      <c r="B8" s="72"/>
      <c r="C8" s="4">
        <v>1612409</v>
      </c>
      <c r="D8" s="19">
        <v>0.56999999999999995</v>
      </c>
      <c r="E8" s="19">
        <v>0.46</v>
      </c>
      <c r="F8" s="4">
        <v>1853818</v>
      </c>
      <c r="G8" s="4">
        <f t="shared" ref="G8:G32" si="0">+J8+K8+L8+M8</f>
        <v>2271202</v>
      </c>
      <c r="H8" s="20">
        <f t="shared" ref="H8:H33" si="1">G8-F8</f>
        <v>417384</v>
      </c>
      <c r="I8" s="4">
        <v>328068</v>
      </c>
      <c r="J8" s="4">
        <v>0</v>
      </c>
      <c r="K8" s="4">
        <f>224708+16701</f>
        <v>241409</v>
      </c>
      <c r="L8" s="4">
        <v>0</v>
      </c>
      <c r="M8" s="4">
        <v>2029793</v>
      </c>
      <c r="N8" s="4">
        <f>+F8-C8</f>
        <v>241409</v>
      </c>
    </row>
    <row r="9" spans="1:14" x14ac:dyDescent="0.2">
      <c r="A9" s="72" t="s">
        <v>26</v>
      </c>
      <c r="B9" s="72"/>
      <c r="C9" s="4">
        <v>1612409</v>
      </c>
      <c r="D9" s="19">
        <v>0.46</v>
      </c>
      <c r="E9" s="19">
        <v>0.46</v>
      </c>
      <c r="F9" s="4">
        <v>1612409</v>
      </c>
      <c r="G9" s="4">
        <f t="shared" si="0"/>
        <v>2406502</v>
      </c>
      <c r="H9" s="20">
        <f>G9-F9</f>
        <v>794093</v>
      </c>
      <c r="I9" s="4">
        <v>2189</v>
      </c>
      <c r="J9" s="4">
        <v>0</v>
      </c>
      <c r="K9" s="4">
        <v>0</v>
      </c>
      <c r="L9" s="4">
        <v>0</v>
      </c>
      <c r="M9" s="4">
        <v>2406502</v>
      </c>
      <c r="N9" s="4">
        <f>+F9-C9</f>
        <v>0</v>
      </c>
    </row>
    <row r="10" spans="1:14" s="20" customFormat="1" x14ac:dyDescent="0.2">
      <c r="A10" s="21" t="s">
        <v>27</v>
      </c>
      <c r="B10" s="6"/>
      <c r="C10" s="4">
        <v>15884166</v>
      </c>
      <c r="D10" s="19">
        <v>0.98</v>
      </c>
      <c r="E10" s="19">
        <v>0.36</v>
      </c>
      <c r="F10" s="4">
        <v>44309268</v>
      </c>
      <c r="G10" s="20">
        <f t="shared" si="0"/>
        <v>47806341</v>
      </c>
      <c r="H10" s="20">
        <f t="shared" si="1"/>
        <v>3497073</v>
      </c>
      <c r="I10" s="4">
        <v>19645391</v>
      </c>
      <c r="J10" s="4">
        <v>0</v>
      </c>
      <c r="K10" s="4">
        <f>4629907+22555671+1317238</f>
        <v>28502816</v>
      </c>
      <c r="L10" s="4">
        <v>50358</v>
      </c>
      <c r="M10" s="4">
        <v>19253167</v>
      </c>
      <c r="N10" s="4">
        <f t="shared" ref="N10:N33" si="2">+F10-C10</f>
        <v>28425102</v>
      </c>
    </row>
    <row r="11" spans="1:14" s="20" customFormat="1" x14ac:dyDescent="0.2">
      <c r="A11" s="21" t="s">
        <v>28</v>
      </c>
      <c r="B11" s="21"/>
      <c r="C11" s="4">
        <v>4532893</v>
      </c>
      <c r="D11" s="19">
        <v>2.58</v>
      </c>
      <c r="E11" s="19">
        <v>0.7</v>
      </c>
      <c r="F11" s="4">
        <v>17194719</v>
      </c>
      <c r="G11" s="20">
        <f t="shared" si="0"/>
        <v>18433468</v>
      </c>
      <c r="H11" s="20">
        <f t="shared" si="1"/>
        <v>1238749</v>
      </c>
      <c r="I11" s="4">
        <v>1636294</v>
      </c>
      <c r="J11" s="4">
        <v>0</v>
      </c>
      <c r="K11" s="4">
        <f>2158394+10079888+7195+462911</f>
        <v>12708388</v>
      </c>
      <c r="L11" s="4">
        <v>0</v>
      </c>
      <c r="M11" s="4">
        <v>5725080</v>
      </c>
      <c r="N11" s="4">
        <f t="shared" si="2"/>
        <v>12661826</v>
      </c>
    </row>
    <row r="12" spans="1:14" x14ac:dyDescent="0.2">
      <c r="A12" s="21" t="s">
        <v>29</v>
      </c>
      <c r="B12" s="21"/>
      <c r="C12" s="4">
        <v>6459395</v>
      </c>
      <c r="D12" s="19">
        <v>6.39</v>
      </c>
      <c r="E12" s="19">
        <v>0.16</v>
      </c>
      <c r="F12" s="4">
        <v>97512525</v>
      </c>
      <c r="G12" s="4">
        <f t="shared" si="0"/>
        <v>106556831</v>
      </c>
      <c r="H12" s="20">
        <f>G12-F12</f>
        <v>9044306</v>
      </c>
      <c r="I12" s="4">
        <v>7721</v>
      </c>
      <c r="J12" s="4">
        <v>86403108</v>
      </c>
      <c r="K12" s="4">
        <f>569996+4080026</f>
        <v>4650022</v>
      </c>
      <c r="L12" s="4">
        <v>0</v>
      </c>
      <c r="M12" s="4">
        <v>15503701</v>
      </c>
      <c r="N12" s="4">
        <f t="shared" si="2"/>
        <v>91053130</v>
      </c>
    </row>
    <row r="13" spans="1:14" x14ac:dyDescent="0.2">
      <c r="A13" s="73" t="s">
        <v>30</v>
      </c>
      <c r="B13" s="74"/>
      <c r="C13" s="4">
        <v>3924031</v>
      </c>
      <c r="D13" s="19">
        <v>3.99</v>
      </c>
      <c r="E13" s="19">
        <v>0.33</v>
      </c>
      <c r="F13" s="4">
        <v>45996831</v>
      </c>
      <c r="G13" s="4">
        <f t="shared" si="0"/>
        <v>52835899</v>
      </c>
      <c r="H13" s="20">
        <f t="shared" si="1"/>
        <v>6839068</v>
      </c>
      <c r="I13" s="4">
        <v>253536</v>
      </c>
      <c r="J13" s="4">
        <v>23622336</v>
      </c>
      <c r="K13" s="4">
        <f>2158957+7645487+495363+8313292</f>
        <v>18613099</v>
      </c>
      <c r="L13" s="4">
        <v>0</v>
      </c>
      <c r="M13" s="4">
        <v>10600464</v>
      </c>
      <c r="N13" s="4">
        <f t="shared" si="2"/>
        <v>42072800</v>
      </c>
    </row>
    <row r="14" spans="1:14" x14ac:dyDescent="0.2">
      <c r="A14" s="21" t="s">
        <v>31</v>
      </c>
      <c r="B14" s="21"/>
      <c r="C14" s="4">
        <v>82226791</v>
      </c>
      <c r="D14" s="19">
        <v>9.17</v>
      </c>
      <c r="E14" s="19">
        <v>0.39</v>
      </c>
      <c r="F14" s="4">
        <v>1299345070</v>
      </c>
      <c r="G14" s="20">
        <f t="shared" si="0"/>
        <v>1313085947</v>
      </c>
      <c r="H14" s="20">
        <f>G14-F14</f>
        <v>13740877</v>
      </c>
      <c r="I14" s="4">
        <v>33472375</v>
      </c>
      <c r="J14" s="4">
        <v>1176599735</v>
      </c>
      <c r="K14" s="4">
        <f>3341963+29774196+8165223</f>
        <v>41281382</v>
      </c>
      <c r="L14" s="4">
        <v>5589</v>
      </c>
      <c r="M14" s="4">
        <v>95199241</v>
      </c>
      <c r="N14" s="4">
        <f>+F14-C14</f>
        <v>1217118279</v>
      </c>
    </row>
    <row r="15" spans="1:14" s="20" customFormat="1" x14ac:dyDescent="0.2">
      <c r="A15" s="21" t="s">
        <v>32</v>
      </c>
      <c r="B15" s="6"/>
      <c r="C15" s="4">
        <v>6414158</v>
      </c>
      <c r="D15" s="19">
        <v>2.62</v>
      </c>
      <c r="E15" s="19">
        <v>0.71</v>
      </c>
      <c r="F15" s="4">
        <v>23818071</v>
      </c>
      <c r="G15" s="20">
        <f t="shared" si="0"/>
        <v>26423504</v>
      </c>
      <c r="H15" s="20">
        <f t="shared" si="1"/>
        <v>2605433</v>
      </c>
      <c r="I15" s="4">
        <v>250512</v>
      </c>
      <c r="J15" s="4">
        <v>0</v>
      </c>
      <c r="K15" s="4">
        <f>2325070+15078843</f>
        <v>17403913</v>
      </c>
      <c r="L15" s="4">
        <v>0</v>
      </c>
      <c r="M15" s="4">
        <v>9019591</v>
      </c>
      <c r="N15" s="20">
        <f t="shared" si="2"/>
        <v>17403913</v>
      </c>
    </row>
    <row r="16" spans="1:14" x14ac:dyDescent="0.2">
      <c r="A16" s="21" t="s">
        <v>33</v>
      </c>
      <c r="B16" s="6"/>
      <c r="C16" s="4">
        <v>39973017</v>
      </c>
      <c r="D16" s="19">
        <v>7.3</v>
      </c>
      <c r="E16" s="19">
        <v>0.15</v>
      </c>
      <c r="F16" s="4">
        <v>643603969</v>
      </c>
      <c r="G16" s="4">
        <f t="shared" si="0"/>
        <v>679108809</v>
      </c>
      <c r="H16" s="20">
        <f t="shared" si="1"/>
        <v>35504840</v>
      </c>
      <c r="I16" s="4">
        <v>2900949</v>
      </c>
      <c r="J16" s="4">
        <v>523303136</v>
      </c>
      <c r="K16" s="4">
        <f>11246680+31236522+5532477+31002097</f>
        <v>79017776</v>
      </c>
      <c r="L16" s="4">
        <v>2248346</v>
      </c>
      <c r="M16" s="4">
        <v>74539551</v>
      </c>
      <c r="N16" s="4">
        <f t="shared" si="2"/>
        <v>603630952</v>
      </c>
    </row>
    <row r="17" spans="1:14" s="23" customFormat="1" x14ac:dyDescent="0.2">
      <c r="A17" s="21" t="s">
        <v>34</v>
      </c>
      <c r="B17" s="21"/>
      <c r="C17" s="20">
        <v>6490166</v>
      </c>
      <c r="D17" s="22">
        <v>4.96</v>
      </c>
      <c r="E17" s="22">
        <v>0.1</v>
      </c>
      <c r="F17" s="20">
        <v>94572915</v>
      </c>
      <c r="G17" s="20">
        <f t="shared" si="0"/>
        <v>106435300</v>
      </c>
      <c r="H17" s="20">
        <f t="shared" si="1"/>
        <v>11862385</v>
      </c>
      <c r="I17" s="20">
        <v>154709</v>
      </c>
      <c r="J17" s="20">
        <v>84740176</v>
      </c>
      <c r="K17" s="20">
        <f>1634991+798632+995647</f>
        <v>3429270</v>
      </c>
      <c r="L17" s="20">
        <v>0</v>
      </c>
      <c r="M17" s="20">
        <v>18265854</v>
      </c>
      <c r="N17" s="20">
        <f t="shared" si="2"/>
        <v>88082749</v>
      </c>
    </row>
    <row r="18" spans="1:14" x14ac:dyDescent="0.2">
      <c r="A18" s="21" t="s">
        <v>35</v>
      </c>
      <c r="B18" s="6"/>
      <c r="C18" s="4">
        <v>17788685</v>
      </c>
      <c r="D18" s="19">
        <v>5.24</v>
      </c>
      <c r="E18" s="19">
        <v>0.18</v>
      </c>
      <c r="F18" s="4">
        <v>292758118</v>
      </c>
      <c r="G18" s="4">
        <f t="shared" si="0"/>
        <v>327386914</v>
      </c>
      <c r="H18" s="20">
        <f t="shared" si="1"/>
        <v>34628796</v>
      </c>
      <c r="I18" s="4">
        <v>1532248</v>
      </c>
      <c r="J18" s="4">
        <v>273112225</v>
      </c>
      <c r="K18" s="4">
        <f>45698+1811510+0</f>
        <v>1857208</v>
      </c>
      <c r="L18" s="4">
        <v>0</v>
      </c>
      <c r="M18" s="4">
        <v>52417481</v>
      </c>
      <c r="N18" s="4">
        <f>+F18-C18</f>
        <v>274969433</v>
      </c>
    </row>
    <row r="19" spans="1:14" x14ac:dyDescent="0.2">
      <c r="A19" s="21" t="s">
        <v>36</v>
      </c>
      <c r="B19" s="21"/>
      <c r="C19" s="4">
        <v>135443079</v>
      </c>
      <c r="D19" s="19">
        <v>6.54</v>
      </c>
      <c r="E19" s="19">
        <v>0.54</v>
      </c>
      <c r="F19" s="4">
        <v>1719511736</v>
      </c>
      <c r="G19" s="4">
        <f t="shared" si="0"/>
        <v>1794060714</v>
      </c>
      <c r="H19" s="20">
        <f t="shared" si="1"/>
        <v>74548978</v>
      </c>
      <c r="I19" s="4">
        <v>55342732</v>
      </c>
      <c r="J19" s="4">
        <v>1458825421</v>
      </c>
      <c r="K19" s="4">
        <f>2144042+43873799+19579137+50213415</f>
        <v>115810393</v>
      </c>
      <c r="L19" s="4">
        <v>435407</v>
      </c>
      <c r="M19" s="4">
        <v>218989493</v>
      </c>
      <c r="N19" s="4">
        <f t="shared" si="2"/>
        <v>1584068657</v>
      </c>
    </row>
    <row r="20" spans="1:14" x14ac:dyDescent="0.2">
      <c r="A20" s="21" t="s">
        <v>37</v>
      </c>
      <c r="B20" s="21"/>
      <c r="C20" s="4">
        <v>20519671</v>
      </c>
      <c r="D20" s="19">
        <v>7.03</v>
      </c>
      <c r="E20" s="19">
        <v>0.15</v>
      </c>
      <c r="F20" s="4">
        <v>293581312</v>
      </c>
      <c r="G20" s="4">
        <f t="shared" si="0"/>
        <v>309188770</v>
      </c>
      <c r="H20" s="20">
        <f t="shared" si="1"/>
        <v>15607458</v>
      </c>
      <c r="I20" s="4">
        <v>5011822</v>
      </c>
      <c r="J20" s="4">
        <v>242134270</v>
      </c>
      <c r="K20" s="4">
        <f>2482121+11208678+4754228+13448917</f>
        <v>31893944</v>
      </c>
      <c r="L20" s="4">
        <v>185509</v>
      </c>
      <c r="M20" s="4">
        <v>34975047</v>
      </c>
      <c r="N20" s="4">
        <f t="shared" si="2"/>
        <v>273061641</v>
      </c>
    </row>
    <row r="21" spans="1:14" x14ac:dyDescent="0.2">
      <c r="A21" s="21" t="s">
        <v>38</v>
      </c>
      <c r="B21" s="21"/>
      <c r="C21" s="4">
        <v>23627827</v>
      </c>
      <c r="D21" s="19">
        <v>10.95</v>
      </c>
      <c r="E21" s="19">
        <v>0.47</v>
      </c>
      <c r="F21" s="4">
        <v>390497211</v>
      </c>
      <c r="G21" s="4">
        <f t="shared" si="0"/>
        <v>396096596</v>
      </c>
      <c r="H21" s="20">
        <f t="shared" si="1"/>
        <v>5599385</v>
      </c>
      <c r="I21" s="4">
        <v>2480410</v>
      </c>
      <c r="J21" s="4">
        <v>303364193</v>
      </c>
      <c r="K21" s="4">
        <f>2435628+14549118+20563350+31353898</f>
        <v>68901994</v>
      </c>
      <c r="L21" s="4">
        <v>383402</v>
      </c>
      <c r="M21" s="4">
        <v>23447007</v>
      </c>
      <c r="N21" s="4">
        <f t="shared" si="2"/>
        <v>366869384</v>
      </c>
    </row>
    <row r="22" spans="1:14" x14ac:dyDescent="0.2">
      <c r="A22" s="21" t="s">
        <v>39</v>
      </c>
      <c r="B22" s="21"/>
      <c r="C22" s="4">
        <v>1612409</v>
      </c>
      <c r="D22" s="19">
        <v>0.96</v>
      </c>
      <c r="E22" s="19">
        <v>0.06</v>
      </c>
      <c r="F22" s="4">
        <v>4181142</v>
      </c>
      <c r="G22" s="4">
        <f t="shared" si="0"/>
        <v>5155053</v>
      </c>
      <c r="H22" s="20">
        <f t="shared" si="1"/>
        <v>973911</v>
      </c>
      <c r="I22" s="4">
        <v>334934</v>
      </c>
      <c r="J22" s="4">
        <v>0</v>
      </c>
      <c r="K22" s="4">
        <f>264124+2304609+0</f>
        <v>2568733</v>
      </c>
      <c r="L22" s="4">
        <v>0</v>
      </c>
      <c r="M22" s="4">
        <v>2586320</v>
      </c>
      <c r="N22" s="4">
        <f t="shared" si="2"/>
        <v>2568733</v>
      </c>
    </row>
    <row r="23" spans="1:14" s="2" customFormat="1" x14ac:dyDescent="0.2">
      <c r="A23" s="21" t="s">
        <v>40</v>
      </c>
      <c r="B23" s="21"/>
      <c r="C23" s="4">
        <v>97174647</v>
      </c>
      <c r="D23" s="19">
        <v>10.75</v>
      </c>
      <c r="E23" s="19">
        <v>0.42</v>
      </c>
      <c r="F23" s="4">
        <v>1510417239</v>
      </c>
      <c r="G23" s="20">
        <f t="shared" si="0"/>
        <v>1519361293</v>
      </c>
      <c r="H23" s="20">
        <f t="shared" si="1"/>
        <v>8944054</v>
      </c>
      <c r="I23" s="4">
        <v>20986477</v>
      </c>
      <c r="J23" s="4">
        <v>1295425363</v>
      </c>
      <c r="K23" s="4">
        <f>4817473+53828251+10625106+35659070</f>
        <v>104929900</v>
      </c>
      <c r="L23" s="4">
        <v>298591</v>
      </c>
      <c r="M23" s="4">
        <v>118707439</v>
      </c>
      <c r="N23" s="4">
        <f t="shared" si="2"/>
        <v>1413242592</v>
      </c>
    </row>
    <row r="24" spans="1:14" s="2" customFormat="1" x14ac:dyDescent="0.2">
      <c r="A24" s="21" t="s">
        <v>41</v>
      </c>
      <c r="B24" s="21"/>
      <c r="C24" s="4">
        <v>14582606</v>
      </c>
      <c r="D24" s="19">
        <v>3.25</v>
      </c>
      <c r="E24" s="19">
        <v>0.45</v>
      </c>
      <c r="F24" s="4">
        <v>139138668</v>
      </c>
      <c r="G24" s="20">
        <f t="shared" si="0"/>
        <v>151793305</v>
      </c>
      <c r="H24" s="20">
        <f>G24-F24</f>
        <v>12654637</v>
      </c>
      <c r="I24" s="4">
        <v>9647950</v>
      </c>
      <c r="J24" s="4">
        <v>32100935</v>
      </c>
      <c r="K24" s="4">
        <f>4607361+47838579+961607+40872700</f>
        <v>94280247</v>
      </c>
      <c r="L24" s="4">
        <v>0</v>
      </c>
      <c r="M24" s="4">
        <v>25412123</v>
      </c>
      <c r="N24" s="4">
        <f>+F24-C24</f>
        <v>124556062</v>
      </c>
    </row>
    <row r="25" spans="1:14" s="20" customFormat="1" x14ac:dyDescent="0.2">
      <c r="A25" s="21" t="s">
        <v>42</v>
      </c>
      <c r="B25" s="21"/>
      <c r="C25" s="4">
        <v>1612409</v>
      </c>
      <c r="D25" s="19">
        <v>5.55</v>
      </c>
      <c r="E25" s="19">
        <v>0.17</v>
      </c>
      <c r="F25" s="4">
        <v>20505482</v>
      </c>
      <c r="G25" s="20">
        <f t="shared" si="0"/>
        <v>21846190</v>
      </c>
      <c r="H25" s="20">
        <f t="shared" ref="H25:H31" si="3">G25-F25</f>
        <v>1340708</v>
      </c>
      <c r="I25" s="4">
        <v>92089</v>
      </c>
      <c r="J25" s="4">
        <v>17753300</v>
      </c>
      <c r="K25" s="4">
        <f>54058+810453+296793</f>
        <v>1161304</v>
      </c>
      <c r="L25" s="4">
        <v>0</v>
      </c>
      <c r="M25" s="4">
        <v>2931586</v>
      </c>
      <c r="N25" s="20">
        <f t="shared" si="2"/>
        <v>18893073</v>
      </c>
    </row>
    <row r="26" spans="1:14" s="20" customFormat="1" x14ac:dyDescent="0.2">
      <c r="A26" s="21" t="s">
        <v>43</v>
      </c>
      <c r="B26" s="21"/>
      <c r="C26" s="4">
        <v>75590703</v>
      </c>
      <c r="D26" s="19">
        <v>9.7200000000000006</v>
      </c>
      <c r="E26" s="19">
        <v>0.32</v>
      </c>
      <c r="F26" s="4">
        <v>1144146768</v>
      </c>
      <c r="G26" s="20">
        <f t="shared" si="0"/>
        <v>1149007574</v>
      </c>
      <c r="H26" s="20">
        <f t="shared" si="3"/>
        <v>4860806</v>
      </c>
      <c r="I26" s="4">
        <v>6945882</v>
      </c>
      <c r="J26" s="4">
        <v>1016097177</v>
      </c>
      <c r="K26" s="4">
        <f>8976119+18124616+1469884+23886144</f>
        <v>52456763</v>
      </c>
      <c r="L26" s="4">
        <v>10</v>
      </c>
      <c r="M26" s="4">
        <v>80453624</v>
      </c>
      <c r="N26" s="20">
        <f t="shared" si="2"/>
        <v>1068556065</v>
      </c>
    </row>
    <row r="27" spans="1:14" x14ac:dyDescent="0.2">
      <c r="A27" s="21" t="s">
        <v>44</v>
      </c>
      <c r="B27" s="21"/>
      <c r="C27" s="4">
        <v>19358702</v>
      </c>
      <c r="D27" s="19">
        <v>12</v>
      </c>
      <c r="E27" s="19">
        <v>0.04</v>
      </c>
      <c r="F27" s="4">
        <v>323347268</v>
      </c>
      <c r="G27" s="4">
        <f t="shared" si="0"/>
        <v>325221009</v>
      </c>
      <c r="H27" s="20">
        <f t="shared" si="3"/>
        <v>1873741</v>
      </c>
      <c r="I27" s="4">
        <v>252243</v>
      </c>
      <c r="J27" s="4">
        <v>300173485</v>
      </c>
      <c r="K27" s="4">
        <f>338731+3466035+10315</f>
        <v>3815081</v>
      </c>
      <c r="L27" s="4">
        <v>0</v>
      </c>
      <c r="M27" s="4">
        <v>21232443</v>
      </c>
      <c r="N27" s="4">
        <f t="shared" si="2"/>
        <v>303988566</v>
      </c>
    </row>
    <row r="28" spans="1:14" s="20" customFormat="1" x14ac:dyDescent="0.2">
      <c r="A28" s="21" t="s">
        <v>45</v>
      </c>
      <c r="B28" s="6"/>
      <c r="C28" s="4">
        <v>35296768</v>
      </c>
      <c r="D28" s="19">
        <v>8.68</v>
      </c>
      <c r="E28" s="19">
        <v>0.2</v>
      </c>
      <c r="F28" s="4">
        <v>580867735</v>
      </c>
      <c r="G28" s="20">
        <f>+J28+K28+L28+M28</f>
        <v>587980795</v>
      </c>
      <c r="H28" s="20">
        <f>G28-F28</f>
        <v>7113060</v>
      </c>
      <c r="I28" s="4">
        <v>10925518</v>
      </c>
      <c r="J28" s="4">
        <v>530466814</v>
      </c>
      <c r="K28" s="4">
        <f>443880+1874423+0+14737293</f>
        <v>17055596</v>
      </c>
      <c r="L28" s="4">
        <v>309039</v>
      </c>
      <c r="M28" s="4">
        <v>40149346</v>
      </c>
      <c r="N28" s="20">
        <f t="shared" si="2"/>
        <v>545570967</v>
      </c>
    </row>
    <row r="29" spans="1:14" s="20" customFormat="1" x14ac:dyDescent="0.2">
      <c r="A29" s="21" t="s">
        <v>46</v>
      </c>
      <c r="B29" s="6"/>
      <c r="C29" s="4">
        <v>65865331</v>
      </c>
      <c r="D29" s="19">
        <v>14.1</v>
      </c>
      <c r="E29" s="19">
        <v>0.28000000000000003</v>
      </c>
      <c r="F29" s="4">
        <v>1098299184</v>
      </c>
      <c r="G29" s="20">
        <f t="shared" si="0"/>
        <v>1100089009</v>
      </c>
      <c r="H29" s="20">
        <f t="shared" si="3"/>
        <v>1789825</v>
      </c>
      <c r="I29" s="4">
        <v>8219758</v>
      </c>
      <c r="J29" s="4">
        <v>1021664274</v>
      </c>
      <c r="K29" s="4">
        <f>1000104+5578683+2230753+2583847</f>
        <v>11393387</v>
      </c>
      <c r="L29" s="4">
        <v>0</v>
      </c>
      <c r="M29" s="4">
        <v>67031348</v>
      </c>
      <c r="N29" s="20">
        <f t="shared" si="2"/>
        <v>1032433853</v>
      </c>
    </row>
    <row r="30" spans="1:14" x14ac:dyDescent="0.2">
      <c r="A30" s="21" t="s">
        <v>47</v>
      </c>
      <c r="B30" s="21"/>
      <c r="C30" s="4">
        <v>16227722</v>
      </c>
      <c r="D30" s="19">
        <v>8.4499999999999993</v>
      </c>
      <c r="E30" s="19">
        <v>0.22</v>
      </c>
      <c r="F30" s="4">
        <v>269379171</v>
      </c>
      <c r="G30" s="4">
        <f t="shared" si="0"/>
        <v>272088931</v>
      </c>
      <c r="H30" s="20">
        <f t="shared" si="3"/>
        <v>2709760</v>
      </c>
      <c r="I30" s="4">
        <v>13192906</v>
      </c>
      <c r="J30" s="4">
        <v>252135423</v>
      </c>
      <c r="K30" s="4">
        <f>647643+170558+255073</f>
        <v>1073274</v>
      </c>
      <c r="L30" s="4">
        <v>1523</v>
      </c>
      <c r="M30" s="4">
        <v>18878711</v>
      </c>
      <c r="N30" s="4">
        <f t="shared" si="2"/>
        <v>253151449</v>
      </c>
    </row>
    <row r="31" spans="1:14" s="20" customFormat="1" x14ac:dyDescent="0.2">
      <c r="A31" s="21" t="s">
        <v>48</v>
      </c>
      <c r="B31" s="21"/>
      <c r="C31" s="4">
        <v>6146516</v>
      </c>
      <c r="D31" s="19">
        <v>6.37</v>
      </c>
      <c r="E31" s="19">
        <v>0.5</v>
      </c>
      <c r="F31" s="4">
        <v>65711363</v>
      </c>
      <c r="G31" s="4">
        <f t="shared" si="0"/>
        <v>66509195</v>
      </c>
      <c r="H31" s="20">
        <f t="shared" si="3"/>
        <v>797832</v>
      </c>
      <c r="I31" s="4">
        <v>994625</v>
      </c>
      <c r="J31" s="4">
        <v>37135042</v>
      </c>
      <c r="K31" s="4">
        <f>2126104+4114734+9920156+6111010</f>
        <v>22272004</v>
      </c>
      <c r="L31" s="4">
        <v>208709</v>
      </c>
      <c r="M31" s="4">
        <v>6893440</v>
      </c>
      <c r="N31" s="4">
        <f t="shared" si="2"/>
        <v>59564847</v>
      </c>
    </row>
    <row r="32" spans="1:14" s="20" customFormat="1" x14ac:dyDescent="0.2">
      <c r="A32" s="21" t="s">
        <v>49</v>
      </c>
      <c r="B32" s="6"/>
      <c r="C32" s="4">
        <v>30774443</v>
      </c>
      <c r="D32" s="19">
        <v>11.01</v>
      </c>
      <c r="E32" s="19">
        <v>0.18</v>
      </c>
      <c r="F32" s="4">
        <v>515092987</v>
      </c>
      <c r="G32" s="4">
        <f t="shared" si="0"/>
        <v>530937052</v>
      </c>
      <c r="H32" s="20">
        <f>G32-F32</f>
        <v>15844065</v>
      </c>
      <c r="I32" s="4">
        <v>109977</v>
      </c>
      <c r="J32" s="4">
        <v>446086429</v>
      </c>
      <c r="K32" s="4">
        <v>38232115</v>
      </c>
      <c r="L32" s="4">
        <v>0</v>
      </c>
      <c r="M32" s="4">
        <v>46618508</v>
      </c>
      <c r="N32" s="4">
        <f t="shared" si="2"/>
        <v>484318544</v>
      </c>
    </row>
    <row r="33" spans="1:14" x14ac:dyDescent="0.2">
      <c r="A33" s="21" t="s">
        <v>50</v>
      </c>
      <c r="B33" s="21"/>
      <c r="C33" s="4">
        <v>56383243</v>
      </c>
      <c r="D33" s="19">
        <v>9.92</v>
      </c>
      <c r="E33" s="19">
        <v>0.23</v>
      </c>
      <c r="F33" s="4">
        <v>871832461</v>
      </c>
      <c r="G33" s="20">
        <f>+J33+K33+L33+M33</f>
        <v>884035343</v>
      </c>
      <c r="H33" s="20">
        <f t="shared" si="1"/>
        <v>12202882</v>
      </c>
      <c r="I33" s="4">
        <v>7644919</v>
      </c>
      <c r="J33" s="4">
        <v>793289331</v>
      </c>
      <c r="K33" s="4">
        <f>698771+8352192+6579547+7216150</f>
        <v>22846660</v>
      </c>
      <c r="L33" s="4">
        <v>615</v>
      </c>
      <c r="M33" s="4">
        <v>67898737</v>
      </c>
      <c r="N33" s="4">
        <f t="shared" si="2"/>
        <v>815449218</v>
      </c>
    </row>
    <row r="34" spans="1:14" x14ac:dyDescent="0.2">
      <c r="A34" s="24" t="s">
        <v>51</v>
      </c>
      <c r="B34" s="24"/>
      <c r="C34" s="25">
        <f>SUM(C8:C33)</f>
        <v>787134196</v>
      </c>
      <c r="D34" s="26"/>
      <c r="E34" s="26"/>
      <c r="F34" s="25">
        <f t="shared" ref="F34:M34" si="4">SUM(F8:F33)</f>
        <v>11509087440</v>
      </c>
      <c r="G34" s="25">
        <f t="shared" si="4"/>
        <v>11796121546</v>
      </c>
      <c r="H34" s="25">
        <f t="shared" si="4"/>
        <v>287034106</v>
      </c>
      <c r="I34" s="25">
        <f t="shared" si="4"/>
        <v>202366234</v>
      </c>
      <c r="J34" s="25">
        <f t="shared" si="4"/>
        <v>9914432173</v>
      </c>
      <c r="K34" s="25">
        <f t="shared" si="4"/>
        <v>796396678</v>
      </c>
      <c r="L34" s="25">
        <f t="shared" si="4"/>
        <v>4127098</v>
      </c>
      <c r="M34" s="25">
        <f t="shared" si="4"/>
        <v>1081165597</v>
      </c>
      <c r="N34" s="4">
        <f>SUM(N8:N33)</f>
        <v>10721953244</v>
      </c>
    </row>
    <row r="35" spans="1:14" x14ac:dyDescent="0.2">
      <c r="A35" s="27"/>
      <c r="B35" s="27"/>
      <c r="D35" s="19"/>
      <c r="E35" s="19"/>
      <c r="M35" s="28"/>
    </row>
    <row r="36" spans="1:14" s="20" customFormat="1" x14ac:dyDescent="0.2">
      <c r="A36" s="21" t="s">
        <v>52</v>
      </c>
      <c r="B36" s="21"/>
      <c r="C36" s="4">
        <v>2592920</v>
      </c>
      <c r="D36" s="19">
        <v>2.29</v>
      </c>
      <c r="E36" s="19">
        <v>0.14000000000000001</v>
      </c>
      <c r="F36" s="4">
        <v>43453281</v>
      </c>
      <c r="G36" s="4">
        <f>+J36+K36+L36+M36</f>
        <v>50227325</v>
      </c>
      <c r="H36" s="20">
        <f>G36-F36</f>
        <v>6774044</v>
      </c>
      <c r="I36" s="4">
        <v>8832417</v>
      </c>
      <c r="J36" s="4">
        <v>40789304</v>
      </c>
      <c r="K36" s="4">
        <f>54490+16567</f>
        <v>71057</v>
      </c>
      <c r="L36" s="4">
        <v>0</v>
      </c>
      <c r="M36" s="4">
        <v>9366964</v>
      </c>
      <c r="N36" s="4">
        <f>+F36-C36</f>
        <v>40860361</v>
      </c>
    </row>
    <row r="37" spans="1:14" x14ac:dyDescent="0.2">
      <c r="A37" s="29" t="s">
        <v>53</v>
      </c>
      <c r="B37" s="29"/>
      <c r="C37" s="25">
        <f t="shared" ref="C37:N37" si="5">SUM(C36:C36)</f>
        <v>2592920</v>
      </c>
      <c r="D37" s="26"/>
      <c r="E37" s="26"/>
      <c r="F37" s="25">
        <f t="shared" si="5"/>
        <v>43453281</v>
      </c>
      <c r="G37" s="25">
        <f t="shared" si="5"/>
        <v>50227325</v>
      </c>
      <c r="H37" s="25">
        <f t="shared" si="5"/>
        <v>6774044</v>
      </c>
      <c r="I37" s="25">
        <f t="shared" si="5"/>
        <v>8832417</v>
      </c>
      <c r="J37" s="25">
        <f t="shared" si="5"/>
        <v>40789304</v>
      </c>
      <c r="K37" s="25">
        <f t="shared" si="5"/>
        <v>71057</v>
      </c>
      <c r="L37" s="25">
        <f t="shared" si="5"/>
        <v>0</v>
      </c>
      <c r="M37" s="25">
        <f t="shared" si="5"/>
        <v>9366964</v>
      </c>
      <c r="N37" s="4">
        <f t="shared" si="5"/>
        <v>40860361</v>
      </c>
    </row>
    <row r="38" spans="1:14" x14ac:dyDescent="0.2">
      <c r="D38" s="19"/>
      <c r="E38" s="19"/>
      <c r="I38" s="20"/>
      <c r="J38" s="20"/>
      <c r="K38" s="20"/>
      <c r="M38" s="28"/>
    </row>
    <row r="39" spans="1:14" x14ac:dyDescent="0.2">
      <c r="A39" s="30" t="s">
        <v>13</v>
      </c>
      <c r="B39" s="30"/>
      <c r="C39" s="7">
        <f>C34+C37</f>
        <v>789727116</v>
      </c>
      <c r="D39" s="31"/>
      <c r="E39" s="31"/>
      <c r="F39" s="7">
        <f t="shared" ref="F39:M39" si="6">F34+F37</f>
        <v>11552540721</v>
      </c>
      <c r="G39" s="7">
        <f t="shared" si="6"/>
        <v>11846348871</v>
      </c>
      <c r="H39" s="7">
        <f t="shared" si="6"/>
        <v>293808150</v>
      </c>
      <c r="I39" s="7">
        <f t="shared" si="6"/>
        <v>211198651</v>
      </c>
      <c r="J39" s="32">
        <f t="shared" si="6"/>
        <v>9955221477</v>
      </c>
      <c r="K39" s="32">
        <f t="shared" si="6"/>
        <v>796467735</v>
      </c>
      <c r="L39" s="7">
        <f t="shared" si="6"/>
        <v>4127098</v>
      </c>
      <c r="M39" s="7">
        <f t="shared" si="6"/>
        <v>1090532561</v>
      </c>
      <c r="N39" s="4">
        <f>+N34+N37</f>
        <v>10762813605</v>
      </c>
    </row>
    <row r="40" spans="1:14" ht="11.25" customHeight="1" x14ac:dyDescent="0.2">
      <c r="A40" s="33"/>
      <c r="B40" s="33"/>
      <c r="C40" s="75"/>
      <c r="D40" s="76"/>
      <c r="E40" s="76"/>
      <c r="F40" s="76"/>
      <c r="G40" s="76"/>
      <c r="H40" s="76"/>
      <c r="I40" s="76"/>
      <c r="J40" s="76"/>
      <c r="K40" s="76"/>
      <c r="L40" s="76"/>
      <c r="M40" s="76"/>
    </row>
    <row r="41" spans="1:14" ht="15" customHeight="1" x14ac:dyDescent="0.2">
      <c r="A41" s="34" t="s">
        <v>54</v>
      </c>
      <c r="B41" s="69" t="s">
        <v>55</v>
      </c>
      <c r="C41" s="69"/>
      <c r="D41" s="69"/>
      <c r="E41" s="69"/>
      <c r="F41" s="69"/>
      <c r="G41" s="69"/>
      <c r="H41" s="69"/>
      <c r="I41" s="69"/>
      <c r="J41" s="69"/>
      <c r="K41" s="69"/>
      <c r="L41" s="69"/>
      <c r="M41" s="74"/>
    </row>
    <row r="42" spans="1:14" ht="12.75" customHeight="1" x14ac:dyDescent="0.2">
      <c r="A42" s="35"/>
      <c r="B42" s="69" t="s">
        <v>56</v>
      </c>
      <c r="C42" s="69"/>
      <c r="D42" s="69"/>
      <c r="E42" s="69"/>
      <c r="F42" s="69"/>
      <c r="G42" s="69"/>
      <c r="H42" s="69"/>
      <c r="I42" s="69"/>
      <c r="J42" s="69"/>
      <c r="K42" s="69"/>
      <c r="L42" s="69"/>
      <c r="M42" s="70"/>
    </row>
    <row r="43" spans="1:14" ht="12.75" customHeight="1" x14ac:dyDescent="0.2">
      <c r="A43" s="35"/>
      <c r="B43" s="69"/>
      <c r="C43" s="69"/>
      <c r="D43" s="69"/>
      <c r="E43" s="69"/>
      <c r="F43" s="69"/>
      <c r="G43" s="69"/>
      <c r="H43" s="69"/>
      <c r="I43" s="69"/>
      <c r="J43" s="69"/>
      <c r="K43" s="69"/>
      <c r="L43" s="69"/>
      <c r="M43" s="70"/>
    </row>
    <row r="44" spans="1:14" x14ac:dyDescent="0.2">
      <c r="A44" s="1" t="s">
        <v>0</v>
      </c>
      <c r="B44" s="36"/>
      <c r="C44" s="36"/>
      <c r="D44" s="36"/>
      <c r="E44" s="36"/>
      <c r="F44" s="36"/>
      <c r="G44" s="36"/>
      <c r="H44" s="36"/>
      <c r="I44" s="36"/>
      <c r="J44" s="36"/>
      <c r="K44" s="36"/>
    </row>
    <row r="45" spans="1:14" x14ac:dyDescent="0.2">
      <c r="A45" s="37" t="s">
        <v>57</v>
      </c>
      <c r="B45" s="36"/>
      <c r="C45" s="36"/>
      <c r="D45" s="36"/>
      <c r="E45" s="36"/>
      <c r="F45" s="36"/>
      <c r="G45" s="36"/>
      <c r="H45" s="36"/>
      <c r="I45" s="36"/>
      <c r="J45" s="36"/>
      <c r="K45" s="36"/>
    </row>
    <row r="46" spans="1:14" x14ac:dyDescent="0.2">
      <c r="A46" s="38" t="s">
        <v>2</v>
      </c>
      <c r="B46" s="36"/>
      <c r="C46" s="36"/>
      <c r="D46" s="36"/>
      <c r="E46" s="36"/>
      <c r="F46" s="36"/>
      <c r="G46" s="36"/>
      <c r="H46" s="36"/>
      <c r="I46" s="36"/>
      <c r="J46" s="36"/>
      <c r="K46" s="36"/>
    </row>
    <row r="47" spans="1:14" x14ac:dyDescent="0.2">
      <c r="A47" s="36"/>
      <c r="B47" s="36"/>
      <c r="C47" s="36"/>
      <c r="D47" s="36"/>
      <c r="E47" s="36"/>
      <c r="F47" s="36"/>
      <c r="G47" s="36"/>
      <c r="H47" s="36"/>
      <c r="I47" s="36"/>
      <c r="J47" s="36"/>
      <c r="K47" s="36"/>
    </row>
    <row r="48" spans="1:14" x14ac:dyDescent="0.2">
      <c r="A48" s="36" t="s">
        <v>58</v>
      </c>
      <c r="B48" s="36"/>
      <c r="C48" s="36"/>
      <c r="D48" s="36"/>
      <c r="E48" s="36"/>
      <c r="F48" s="36"/>
      <c r="G48" s="36"/>
      <c r="H48" s="36"/>
      <c r="I48" s="36"/>
      <c r="J48" s="36"/>
      <c r="K48" s="36"/>
    </row>
    <row r="49" spans="1:11" x14ac:dyDescent="0.2">
      <c r="A49" s="8" t="s">
        <v>3</v>
      </c>
      <c r="B49" s="39"/>
      <c r="C49" s="39"/>
      <c r="D49" s="24" t="s">
        <v>59</v>
      </c>
      <c r="E49" s="40"/>
      <c r="F49" s="41" t="s">
        <v>60</v>
      </c>
      <c r="G49" s="41" t="s">
        <v>10</v>
      </c>
      <c r="H49" s="42" t="s">
        <v>61</v>
      </c>
      <c r="I49" s="41" t="s">
        <v>60</v>
      </c>
      <c r="J49" s="41" t="s">
        <v>10</v>
      </c>
      <c r="K49" s="42" t="s">
        <v>61</v>
      </c>
    </row>
    <row r="50" spans="1:11" x14ac:dyDescent="0.2">
      <c r="A50" s="43"/>
      <c r="B50" s="43"/>
      <c r="C50" s="43"/>
      <c r="D50" s="12" t="s">
        <v>13</v>
      </c>
      <c r="E50" s="12" t="s">
        <v>14</v>
      </c>
      <c r="F50" s="44" t="s">
        <v>62</v>
      </c>
      <c r="G50" s="44" t="s">
        <v>63</v>
      </c>
      <c r="H50" s="44" t="s">
        <v>64</v>
      </c>
      <c r="I50" s="44" t="s">
        <v>65</v>
      </c>
      <c r="J50" s="44" t="s">
        <v>63</v>
      </c>
      <c r="K50" s="44" t="s">
        <v>64</v>
      </c>
    </row>
    <row r="51" spans="1:11" x14ac:dyDescent="0.2">
      <c r="A51" s="45"/>
      <c r="B51" s="45"/>
      <c r="C51" s="45"/>
      <c r="D51" s="45"/>
      <c r="E51" s="45"/>
      <c r="F51" s="46" t="s">
        <v>66</v>
      </c>
      <c r="G51" s="46" t="s">
        <v>67</v>
      </c>
      <c r="H51" s="46" t="s">
        <v>67</v>
      </c>
      <c r="I51" s="46" t="s">
        <v>4</v>
      </c>
      <c r="J51" s="47" t="s">
        <v>68</v>
      </c>
      <c r="K51" s="47" t="s">
        <v>68</v>
      </c>
    </row>
    <row r="52" spans="1:11" x14ac:dyDescent="0.2">
      <c r="A52" s="43"/>
      <c r="B52" s="43"/>
      <c r="C52" s="43"/>
      <c r="D52" s="48"/>
      <c r="E52" s="48"/>
      <c r="F52" s="49"/>
      <c r="G52" s="49"/>
      <c r="H52" s="49"/>
      <c r="I52" s="49"/>
      <c r="J52" s="18"/>
      <c r="K52" s="18"/>
    </row>
    <row r="53" spans="1:11" x14ac:dyDescent="0.2">
      <c r="A53" s="50" t="s">
        <v>69</v>
      </c>
      <c r="B53" s="43"/>
      <c r="C53" s="43"/>
      <c r="D53" s="51">
        <v>1.05</v>
      </c>
      <c r="E53" s="52">
        <v>3.0000000000000001E-3</v>
      </c>
      <c r="F53" s="53">
        <v>58636531</v>
      </c>
      <c r="G53" s="53">
        <f>57335701+1300830</f>
        <v>58636531</v>
      </c>
      <c r="H53" s="53">
        <f>G53-F53</f>
        <v>0</v>
      </c>
      <c r="I53" s="53">
        <v>56095877</v>
      </c>
      <c r="J53" s="53">
        <v>56183004</v>
      </c>
      <c r="K53" s="53">
        <f>J53-I53</f>
        <v>87127</v>
      </c>
    </row>
    <row r="54" spans="1:11" x14ac:dyDescent="0.2">
      <c r="A54" s="54" t="s">
        <v>70</v>
      </c>
      <c r="B54" s="43"/>
      <c r="C54" s="43"/>
      <c r="D54" s="51">
        <v>0.47</v>
      </c>
      <c r="E54" s="51">
        <v>0.02</v>
      </c>
      <c r="F54" s="53">
        <v>16700266</v>
      </c>
      <c r="G54" s="53">
        <f>534285+10070176+6095805</f>
        <v>16700266</v>
      </c>
      <c r="H54" s="53">
        <f>G54-F54</f>
        <v>0</v>
      </c>
      <c r="I54" s="53">
        <v>37176228</v>
      </c>
      <c r="J54" s="53">
        <v>37891353</v>
      </c>
      <c r="K54" s="53">
        <f>J54-I54</f>
        <v>715125</v>
      </c>
    </row>
    <row r="55" spans="1:11" x14ac:dyDescent="0.2">
      <c r="A55" s="43"/>
      <c r="B55" s="43"/>
      <c r="C55" s="43"/>
      <c r="D55" s="48"/>
      <c r="E55" s="48"/>
      <c r="F55" s="53"/>
      <c r="G55" s="53"/>
      <c r="H55" s="53"/>
      <c r="I55" s="53"/>
      <c r="J55" s="53"/>
      <c r="K55" s="53"/>
    </row>
    <row r="56" spans="1:11" x14ac:dyDescent="0.2">
      <c r="A56" s="36"/>
      <c r="B56" s="36"/>
      <c r="C56" s="36"/>
      <c r="D56" s="55"/>
      <c r="E56" s="55"/>
      <c r="F56" s="56"/>
      <c r="G56" s="56"/>
      <c r="H56" s="56"/>
      <c r="I56" s="56"/>
      <c r="J56" s="56"/>
      <c r="K56" s="56"/>
    </row>
    <row r="57" spans="1:11" x14ac:dyDescent="0.2">
      <c r="A57" s="57" t="s">
        <v>71</v>
      </c>
      <c r="B57" s="36"/>
      <c r="C57" s="36"/>
      <c r="D57" s="55"/>
      <c r="E57" s="55"/>
      <c r="F57" s="56"/>
      <c r="G57" s="56"/>
      <c r="H57" s="56"/>
      <c r="I57" s="56"/>
      <c r="J57" s="56"/>
      <c r="K57" s="56"/>
    </row>
    <row r="58" spans="1:11" x14ac:dyDescent="0.2">
      <c r="A58" s="8" t="s">
        <v>3</v>
      </c>
      <c r="B58" s="39"/>
      <c r="C58" s="39"/>
      <c r="D58" s="24" t="s">
        <v>59</v>
      </c>
      <c r="E58" s="58"/>
      <c r="F58" s="59" t="s">
        <v>72</v>
      </c>
      <c r="G58" s="59" t="s">
        <v>72</v>
      </c>
      <c r="H58" s="60" t="s">
        <v>73</v>
      </c>
      <c r="I58" s="60" t="s">
        <v>74</v>
      </c>
      <c r="J58" s="53"/>
      <c r="K58" s="53"/>
    </row>
    <row r="59" spans="1:11" x14ac:dyDescent="0.2">
      <c r="A59" s="43"/>
      <c r="B59" s="43"/>
      <c r="C59" s="43"/>
      <c r="D59" s="12" t="s">
        <v>13</v>
      </c>
      <c r="E59" s="12" t="s">
        <v>14</v>
      </c>
      <c r="F59" s="18" t="s">
        <v>75</v>
      </c>
      <c r="G59" s="18" t="s">
        <v>75</v>
      </c>
      <c r="H59" s="49" t="s">
        <v>76</v>
      </c>
      <c r="I59" s="49" t="s">
        <v>64</v>
      </c>
      <c r="J59" s="53"/>
      <c r="K59" s="53"/>
    </row>
    <row r="60" spans="1:11" x14ac:dyDescent="0.2">
      <c r="A60" s="43"/>
      <c r="B60" s="43"/>
      <c r="C60" s="43"/>
      <c r="D60" s="48"/>
      <c r="E60" s="48"/>
      <c r="F60" s="18" t="s">
        <v>77</v>
      </c>
      <c r="G60" s="49" t="s">
        <v>78</v>
      </c>
      <c r="H60" s="18" t="s">
        <v>79</v>
      </c>
      <c r="I60" s="49" t="s">
        <v>80</v>
      </c>
      <c r="J60" s="53"/>
      <c r="K60" s="53"/>
    </row>
    <row r="61" spans="1:11" x14ac:dyDescent="0.2">
      <c r="A61" s="45"/>
      <c r="B61" s="45"/>
      <c r="C61" s="45"/>
      <c r="D61" s="61"/>
      <c r="E61" s="61"/>
      <c r="F61" s="62" t="s">
        <v>81</v>
      </c>
      <c r="G61" s="62" t="s">
        <v>82</v>
      </c>
      <c r="H61" s="62" t="s">
        <v>83</v>
      </c>
      <c r="I61" s="62" t="s">
        <v>83</v>
      </c>
      <c r="J61" s="53"/>
      <c r="K61" s="53"/>
    </row>
    <row r="62" spans="1:11" x14ac:dyDescent="0.2">
      <c r="A62" s="43"/>
      <c r="B62" s="43"/>
      <c r="C62" s="36"/>
      <c r="D62" s="55"/>
      <c r="E62" s="55"/>
      <c r="F62" s="56"/>
      <c r="G62" s="56"/>
      <c r="H62" s="56"/>
      <c r="I62" s="56"/>
      <c r="J62" s="56"/>
      <c r="K62" s="56"/>
    </row>
    <row r="63" spans="1:11" x14ac:dyDescent="0.2">
      <c r="A63" s="63" t="s">
        <v>84</v>
      </c>
      <c r="B63" s="43"/>
      <c r="C63" s="43"/>
      <c r="D63" s="51">
        <v>1.58</v>
      </c>
      <c r="E63" s="51">
        <v>0.01</v>
      </c>
      <c r="F63" s="53">
        <v>52135441</v>
      </c>
      <c r="G63" s="53">
        <v>37598325</v>
      </c>
      <c r="H63" s="53">
        <v>90003627</v>
      </c>
      <c r="I63" s="53">
        <f>+H63-G63-F63</f>
        <v>269861</v>
      </c>
      <c r="J63" s="53"/>
      <c r="K63" s="53"/>
    </row>
    <row r="64" spans="1:11" x14ac:dyDescent="0.2">
      <c r="A64" s="36"/>
      <c r="B64" s="36"/>
      <c r="C64" s="36"/>
      <c r="D64" s="55"/>
      <c r="E64" s="55"/>
      <c r="F64" s="56"/>
      <c r="G64" s="56"/>
      <c r="H64" s="56"/>
      <c r="I64" s="56"/>
      <c r="J64" s="56"/>
      <c r="K64" s="56"/>
    </row>
    <row r="65" spans="1:11" x14ac:dyDescent="0.2">
      <c r="A65" s="36"/>
      <c r="B65" s="36"/>
      <c r="C65" s="36"/>
      <c r="D65" s="55"/>
      <c r="E65" s="55"/>
      <c r="F65" s="56"/>
      <c r="G65" s="56"/>
      <c r="H65" s="56"/>
      <c r="I65" s="56"/>
      <c r="J65" s="56"/>
      <c r="K65" s="56"/>
    </row>
  </sheetData>
  <mergeCells count="8">
    <mergeCell ref="B42:M42"/>
    <mergeCell ref="B43:M43"/>
    <mergeCell ref="D4:E4"/>
    <mergeCell ref="A8:B8"/>
    <mergeCell ref="A9:B9"/>
    <mergeCell ref="A13:B13"/>
    <mergeCell ref="C40:M40"/>
    <mergeCell ref="B41:M4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workbookViewId="0"/>
  </sheetViews>
  <sheetFormatPr baseColWidth="10" defaultRowHeight="12.75" x14ac:dyDescent="0.2"/>
  <cols>
    <col min="1" max="1" width="2.5703125" style="4" customWidth="1"/>
    <col min="2" max="2" width="22.42578125" style="4" customWidth="1"/>
    <col min="3" max="3" width="12.140625" style="4" bestFit="1" customWidth="1"/>
    <col min="4" max="4" width="8.140625" style="4" customWidth="1"/>
    <col min="5" max="5" width="8.5703125" style="4" customWidth="1"/>
    <col min="6" max="6" width="17" style="4" bestFit="1" customWidth="1"/>
    <col min="7" max="7" width="16.7109375" style="4" bestFit="1" customWidth="1"/>
    <col min="8" max="8" width="18" style="4" bestFit="1" customWidth="1"/>
    <col min="9" max="9" width="17.7109375" style="4" bestFit="1" customWidth="1"/>
    <col min="10" max="10" width="15.7109375" style="4" customWidth="1"/>
    <col min="11" max="11" width="16.28515625" style="4" customWidth="1"/>
    <col min="12" max="12" width="15.140625" style="4" customWidth="1"/>
    <col min="13" max="13" width="14.28515625" style="4" customWidth="1"/>
    <col min="14" max="14" width="14.5703125" style="4" bestFit="1" customWidth="1"/>
    <col min="15" max="256" width="11.42578125" style="4"/>
    <col min="257" max="257" width="2.5703125" style="4" customWidth="1"/>
    <col min="258" max="258" width="22.42578125" style="4" customWidth="1"/>
    <col min="259" max="259" width="12.140625" style="4" bestFit="1" customWidth="1"/>
    <col min="260" max="260" width="8.140625" style="4" customWidth="1"/>
    <col min="261" max="261" width="8.5703125" style="4" customWidth="1"/>
    <col min="262" max="262" width="17" style="4" bestFit="1" customWidth="1"/>
    <col min="263" max="263" width="16.7109375" style="4" bestFit="1" customWidth="1"/>
    <col min="264" max="264" width="18" style="4" bestFit="1" customWidth="1"/>
    <col min="265" max="265" width="17.7109375" style="4" bestFit="1" customWidth="1"/>
    <col min="266" max="266" width="15.7109375" style="4" customWidth="1"/>
    <col min="267" max="267" width="16.28515625" style="4" customWidth="1"/>
    <col min="268" max="268" width="15.140625" style="4" customWidth="1"/>
    <col min="269" max="269" width="14.28515625" style="4" customWidth="1"/>
    <col min="270" max="270" width="14.5703125" style="4" bestFit="1" customWidth="1"/>
    <col min="271" max="512" width="11.42578125" style="4"/>
    <col min="513" max="513" width="2.5703125" style="4" customWidth="1"/>
    <col min="514" max="514" width="22.42578125" style="4" customWidth="1"/>
    <col min="515" max="515" width="12.140625" style="4" bestFit="1" customWidth="1"/>
    <col min="516" max="516" width="8.140625" style="4" customWidth="1"/>
    <col min="517" max="517" width="8.5703125" style="4" customWidth="1"/>
    <col min="518" max="518" width="17" style="4" bestFit="1" customWidth="1"/>
    <col min="519" max="519" width="16.7109375" style="4" bestFit="1" customWidth="1"/>
    <col min="520" max="520" width="18" style="4" bestFit="1" customWidth="1"/>
    <col min="521" max="521" width="17.7109375" style="4" bestFit="1" customWidth="1"/>
    <col min="522" max="522" width="15.7109375" style="4" customWidth="1"/>
    <col min="523" max="523" width="16.28515625" style="4" customWidth="1"/>
    <col min="524" max="524" width="15.140625" style="4" customWidth="1"/>
    <col min="525" max="525" width="14.28515625" style="4" customWidth="1"/>
    <col min="526" max="526" width="14.5703125" style="4" bestFit="1" customWidth="1"/>
    <col min="527" max="768" width="11.42578125" style="4"/>
    <col min="769" max="769" width="2.5703125" style="4" customWidth="1"/>
    <col min="770" max="770" width="22.42578125" style="4" customWidth="1"/>
    <col min="771" max="771" width="12.140625" style="4" bestFit="1" customWidth="1"/>
    <col min="772" max="772" width="8.140625" style="4" customWidth="1"/>
    <col min="773" max="773" width="8.5703125" style="4" customWidth="1"/>
    <col min="774" max="774" width="17" style="4" bestFit="1" customWidth="1"/>
    <col min="775" max="775" width="16.7109375" style="4" bestFit="1" customWidth="1"/>
    <col min="776" max="776" width="18" style="4" bestFit="1" customWidth="1"/>
    <col min="777" max="777" width="17.7109375" style="4" bestFit="1" customWidth="1"/>
    <col min="778" max="778" width="15.7109375" style="4" customWidth="1"/>
    <col min="779" max="779" width="16.28515625" style="4" customWidth="1"/>
    <col min="780" max="780" width="15.140625" style="4" customWidth="1"/>
    <col min="781" max="781" width="14.28515625" style="4" customWidth="1"/>
    <col min="782" max="782" width="14.5703125" style="4" bestFit="1" customWidth="1"/>
    <col min="783" max="1024" width="11.42578125" style="4"/>
    <col min="1025" max="1025" width="2.5703125" style="4" customWidth="1"/>
    <col min="1026" max="1026" width="22.42578125" style="4" customWidth="1"/>
    <col min="1027" max="1027" width="12.140625" style="4" bestFit="1" customWidth="1"/>
    <col min="1028" max="1028" width="8.140625" style="4" customWidth="1"/>
    <col min="1029" max="1029" width="8.5703125" style="4" customWidth="1"/>
    <col min="1030" max="1030" width="17" style="4" bestFit="1" customWidth="1"/>
    <col min="1031" max="1031" width="16.7109375" style="4" bestFit="1" customWidth="1"/>
    <col min="1032" max="1032" width="18" style="4" bestFit="1" customWidth="1"/>
    <col min="1033" max="1033" width="17.7109375" style="4" bestFit="1" customWidth="1"/>
    <col min="1034" max="1034" width="15.7109375" style="4" customWidth="1"/>
    <col min="1035" max="1035" width="16.28515625" style="4" customWidth="1"/>
    <col min="1036" max="1036" width="15.140625" style="4" customWidth="1"/>
    <col min="1037" max="1037" width="14.28515625" style="4" customWidth="1"/>
    <col min="1038" max="1038" width="14.5703125" style="4" bestFit="1" customWidth="1"/>
    <col min="1039" max="1280" width="11.42578125" style="4"/>
    <col min="1281" max="1281" width="2.5703125" style="4" customWidth="1"/>
    <col min="1282" max="1282" width="22.42578125" style="4" customWidth="1"/>
    <col min="1283" max="1283" width="12.140625" style="4" bestFit="1" customWidth="1"/>
    <col min="1284" max="1284" width="8.140625" style="4" customWidth="1"/>
    <col min="1285" max="1285" width="8.5703125" style="4" customWidth="1"/>
    <col min="1286" max="1286" width="17" style="4" bestFit="1" customWidth="1"/>
    <col min="1287" max="1287" width="16.7109375" style="4" bestFit="1" customWidth="1"/>
    <col min="1288" max="1288" width="18" style="4" bestFit="1" customWidth="1"/>
    <col min="1289" max="1289" width="17.7109375" style="4" bestFit="1" customWidth="1"/>
    <col min="1290" max="1290" width="15.7109375" style="4" customWidth="1"/>
    <col min="1291" max="1291" width="16.28515625" style="4" customWidth="1"/>
    <col min="1292" max="1292" width="15.140625" style="4" customWidth="1"/>
    <col min="1293" max="1293" width="14.28515625" style="4" customWidth="1"/>
    <col min="1294" max="1294" width="14.5703125" style="4" bestFit="1" customWidth="1"/>
    <col min="1295" max="1536" width="11.42578125" style="4"/>
    <col min="1537" max="1537" width="2.5703125" style="4" customWidth="1"/>
    <col min="1538" max="1538" width="22.42578125" style="4" customWidth="1"/>
    <col min="1539" max="1539" width="12.140625" style="4" bestFit="1" customWidth="1"/>
    <col min="1540" max="1540" width="8.140625" style="4" customWidth="1"/>
    <col min="1541" max="1541" width="8.5703125" style="4" customWidth="1"/>
    <col min="1542" max="1542" width="17" style="4" bestFit="1" customWidth="1"/>
    <col min="1543" max="1543" width="16.7109375" style="4" bestFit="1" customWidth="1"/>
    <col min="1544" max="1544" width="18" style="4" bestFit="1" customWidth="1"/>
    <col min="1545" max="1545" width="17.7109375" style="4" bestFit="1" customWidth="1"/>
    <col min="1546" max="1546" width="15.7109375" style="4" customWidth="1"/>
    <col min="1547" max="1547" width="16.28515625" style="4" customWidth="1"/>
    <col min="1548" max="1548" width="15.140625" style="4" customWidth="1"/>
    <col min="1549" max="1549" width="14.28515625" style="4" customWidth="1"/>
    <col min="1550" max="1550" width="14.5703125" style="4" bestFit="1" customWidth="1"/>
    <col min="1551" max="1792" width="11.42578125" style="4"/>
    <col min="1793" max="1793" width="2.5703125" style="4" customWidth="1"/>
    <col min="1794" max="1794" width="22.42578125" style="4" customWidth="1"/>
    <col min="1795" max="1795" width="12.140625" style="4" bestFit="1" customWidth="1"/>
    <col min="1796" max="1796" width="8.140625" style="4" customWidth="1"/>
    <col min="1797" max="1797" width="8.5703125" style="4" customWidth="1"/>
    <col min="1798" max="1798" width="17" style="4" bestFit="1" customWidth="1"/>
    <col min="1799" max="1799" width="16.7109375" style="4" bestFit="1" customWidth="1"/>
    <col min="1800" max="1800" width="18" style="4" bestFit="1" customWidth="1"/>
    <col min="1801" max="1801" width="17.7109375" style="4" bestFit="1" customWidth="1"/>
    <col min="1802" max="1802" width="15.7109375" style="4" customWidth="1"/>
    <col min="1803" max="1803" width="16.28515625" style="4" customWidth="1"/>
    <col min="1804" max="1804" width="15.140625" style="4" customWidth="1"/>
    <col min="1805" max="1805" width="14.28515625" style="4" customWidth="1"/>
    <col min="1806" max="1806" width="14.5703125" style="4" bestFit="1" customWidth="1"/>
    <col min="1807" max="2048" width="11.42578125" style="4"/>
    <col min="2049" max="2049" width="2.5703125" style="4" customWidth="1"/>
    <col min="2050" max="2050" width="22.42578125" style="4" customWidth="1"/>
    <col min="2051" max="2051" width="12.140625" style="4" bestFit="1" customWidth="1"/>
    <col min="2052" max="2052" width="8.140625" style="4" customWidth="1"/>
    <col min="2053" max="2053" width="8.5703125" style="4" customWidth="1"/>
    <col min="2054" max="2054" width="17" style="4" bestFit="1" customWidth="1"/>
    <col min="2055" max="2055" width="16.7109375" style="4" bestFit="1" customWidth="1"/>
    <col min="2056" max="2056" width="18" style="4" bestFit="1" customWidth="1"/>
    <col min="2057" max="2057" width="17.7109375" style="4" bestFit="1" customWidth="1"/>
    <col min="2058" max="2058" width="15.7109375" style="4" customWidth="1"/>
    <col min="2059" max="2059" width="16.28515625" style="4" customWidth="1"/>
    <col min="2060" max="2060" width="15.140625" style="4" customWidth="1"/>
    <col min="2061" max="2061" width="14.28515625" style="4" customWidth="1"/>
    <col min="2062" max="2062" width="14.5703125" style="4" bestFit="1" customWidth="1"/>
    <col min="2063" max="2304" width="11.42578125" style="4"/>
    <col min="2305" max="2305" width="2.5703125" style="4" customWidth="1"/>
    <col min="2306" max="2306" width="22.42578125" style="4" customWidth="1"/>
    <col min="2307" max="2307" width="12.140625" style="4" bestFit="1" customWidth="1"/>
    <col min="2308" max="2308" width="8.140625" style="4" customWidth="1"/>
    <col min="2309" max="2309" width="8.5703125" style="4" customWidth="1"/>
    <col min="2310" max="2310" width="17" style="4" bestFit="1" customWidth="1"/>
    <col min="2311" max="2311" width="16.7109375" style="4" bestFit="1" customWidth="1"/>
    <col min="2312" max="2312" width="18" style="4" bestFit="1" customWidth="1"/>
    <col min="2313" max="2313" width="17.7109375" style="4" bestFit="1" customWidth="1"/>
    <col min="2314" max="2314" width="15.7109375" style="4" customWidth="1"/>
    <col min="2315" max="2315" width="16.28515625" style="4" customWidth="1"/>
    <col min="2316" max="2316" width="15.140625" style="4" customWidth="1"/>
    <col min="2317" max="2317" width="14.28515625" style="4" customWidth="1"/>
    <col min="2318" max="2318" width="14.5703125" style="4" bestFit="1" customWidth="1"/>
    <col min="2319" max="2560" width="11.42578125" style="4"/>
    <col min="2561" max="2561" width="2.5703125" style="4" customWidth="1"/>
    <col min="2562" max="2562" width="22.42578125" style="4" customWidth="1"/>
    <col min="2563" max="2563" width="12.140625" style="4" bestFit="1" customWidth="1"/>
    <col min="2564" max="2564" width="8.140625" style="4" customWidth="1"/>
    <col min="2565" max="2565" width="8.5703125" style="4" customWidth="1"/>
    <col min="2566" max="2566" width="17" style="4" bestFit="1" customWidth="1"/>
    <col min="2567" max="2567" width="16.7109375" style="4" bestFit="1" customWidth="1"/>
    <col min="2568" max="2568" width="18" style="4" bestFit="1" customWidth="1"/>
    <col min="2569" max="2569" width="17.7109375" style="4" bestFit="1" customWidth="1"/>
    <col min="2570" max="2570" width="15.7109375" style="4" customWidth="1"/>
    <col min="2571" max="2571" width="16.28515625" style="4" customWidth="1"/>
    <col min="2572" max="2572" width="15.140625" style="4" customWidth="1"/>
    <col min="2573" max="2573" width="14.28515625" style="4" customWidth="1"/>
    <col min="2574" max="2574" width="14.5703125" style="4" bestFit="1" customWidth="1"/>
    <col min="2575" max="2816" width="11.42578125" style="4"/>
    <col min="2817" max="2817" width="2.5703125" style="4" customWidth="1"/>
    <col min="2818" max="2818" width="22.42578125" style="4" customWidth="1"/>
    <col min="2819" max="2819" width="12.140625" style="4" bestFit="1" customWidth="1"/>
    <col min="2820" max="2820" width="8.140625" style="4" customWidth="1"/>
    <col min="2821" max="2821" width="8.5703125" style="4" customWidth="1"/>
    <col min="2822" max="2822" width="17" style="4" bestFit="1" customWidth="1"/>
    <col min="2823" max="2823" width="16.7109375" style="4" bestFit="1" customWidth="1"/>
    <col min="2824" max="2824" width="18" style="4" bestFit="1" customWidth="1"/>
    <col min="2825" max="2825" width="17.7109375" style="4" bestFit="1" customWidth="1"/>
    <col min="2826" max="2826" width="15.7109375" style="4" customWidth="1"/>
    <col min="2827" max="2827" width="16.28515625" style="4" customWidth="1"/>
    <col min="2828" max="2828" width="15.140625" style="4" customWidth="1"/>
    <col min="2829" max="2829" width="14.28515625" style="4" customWidth="1"/>
    <col min="2830" max="2830" width="14.5703125" style="4" bestFit="1" customWidth="1"/>
    <col min="2831" max="3072" width="11.42578125" style="4"/>
    <col min="3073" max="3073" width="2.5703125" style="4" customWidth="1"/>
    <col min="3074" max="3074" width="22.42578125" style="4" customWidth="1"/>
    <col min="3075" max="3075" width="12.140625" style="4" bestFit="1" customWidth="1"/>
    <col min="3076" max="3076" width="8.140625" style="4" customWidth="1"/>
    <col min="3077" max="3077" width="8.5703125" style="4" customWidth="1"/>
    <col min="3078" max="3078" width="17" style="4" bestFit="1" customWidth="1"/>
    <col min="3079" max="3079" width="16.7109375" style="4" bestFit="1" customWidth="1"/>
    <col min="3080" max="3080" width="18" style="4" bestFit="1" customWidth="1"/>
    <col min="3081" max="3081" width="17.7109375" style="4" bestFit="1" customWidth="1"/>
    <col min="3082" max="3082" width="15.7109375" style="4" customWidth="1"/>
    <col min="3083" max="3083" width="16.28515625" style="4" customWidth="1"/>
    <col min="3084" max="3084" width="15.140625" style="4" customWidth="1"/>
    <col min="3085" max="3085" width="14.28515625" style="4" customWidth="1"/>
    <col min="3086" max="3086" width="14.5703125" style="4" bestFit="1" customWidth="1"/>
    <col min="3087" max="3328" width="11.42578125" style="4"/>
    <col min="3329" max="3329" width="2.5703125" style="4" customWidth="1"/>
    <col min="3330" max="3330" width="22.42578125" style="4" customWidth="1"/>
    <col min="3331" max="3331" width="12.140625" style="4" bestFit="1" customWidth="1"/>
    <col min="3332" max="3332" width="8.140625" style="4" customWidth="1"/>
    <col min="3333" max="3333" width="8.5703125" style="4" customWidth="1"/>
    <col min="3334" max="3334" width="17" style="4" bestFit="1" customWidth="1"/>
    <col min="3335" max="3335" width="16.7109375" style="4" bestFit="1" customWidth="1"/>
    <col min="3336" max="3336" width="18" style="4" bestFit="1" customWidth="1"/>
    <col min="3337" max="3337" width="17.7109375" style="4" bestFit="1" customWidth="1"/>
    <col min="3338" max="3338" width="15.7109375" style="4" customWidth="1"/>
    <col min="3339" max="3339" width="16.28515625" style="4" customWidth="1"/>
    <col min="3340" max="3340" width="15.140625" style="4" customWidth="1"/>
    <col min="3341" max="3341" width="14.28515625" style="4" customWidth="1"/>
    <col min="3342" max="3342" width="14.5703125" style="4" bestFit="1" customWidth="1"/>
    <col min="3343" max="3584" width="11.42578125" style="4"/>
    <col min="3585" max="3585" width="2.5703125" style="4" customWidth="1"/>
    <col min="3586" max="3586" width="22.42578125" style="4" customWidth="1"/>
    <col min="3587" max="3587" width="12.140625" style="4" bestFit="1" customWidth="1"/>
    <col min="3588" max="3588" width="8.140625" style="4" customWidth="1"/>
    <col min="3589" max="3589" width="8.5703125" style="4" customWidth="1"/>
    <col min="3590" max="3590" width="17" style="4" bestFit="1" customWidth="1"/>
    <col min="3591" max="3591" width="16.7109375" style="4" bestFit="1" customWidth="1"/>
    <col min="3592" max="3592" width="18" style="4" bestFit="1" customWidth="1"/>
    <col min="3593" max="3593" width="17.7109375" style="4" bestFit="1" customWidth="1"/>
    <col min="3594" max="3594" width="15.7109375" style="4" customWidth="1"/>
    <col min="3595" max="3595" width="16.28515625" style="4" customWidth="1"/>
    <col min="3596" max="3596" width="15.140625" style="4" customWidth="1"/>
    <col min="3597" max="3597" width="14.28515625" style="4" customWidth="1"/>
    <col min="3598" max="3598" width="14.5703125" style="4" bestFit="1" customWidth="1"/>
    <col min="3599" max="3840" width="11.42578125" style="4"/>
    <col min="3841" max="3841" width="2.5703125" style="4" customWidth="1"/>
    <col min="3842" max="3842" width="22.42578125" style="4" customWidth="1"/>
    <col min="3843" max="3843" width="12.140625" style="4" bestFit="1" customWidth="1"/>
    <col min="3844" max="3844" width="8.140625" style="4" customWidth="1"/>
    <col min="3845" max="3845" width="8.5703125" style="4" customWidth="1"/>
    <col min="3846" max="3846" width="17" style="4" bestFit="1" customWidth="1"/>
    <col min="3847" max="3847" width="16.7109375" style="4" bestFit="1" customWidth="1"/>
    <col min="3848" max="3848" width="18" style="4" bestFit="1" customWidth="1"/>
    <col min="3849" max="3849" width="17.7109375" style="4" bestFit="1" customWidth="1"/>
    <col min="3850" max="3850" width="15.7109375" style="4" customWidth="1"/>
    <col min="3851" max="3851" width="16.28515625" style="4" customWidth="1"/>
    <col min="3852" max="3852" width="15.140625" style="4" customWidth="1"/>
    <col min="3853" max="3853" width="14.28515625" style="4" customWidth="1"/>
    <col min="3854" max="3854" width="14.5703125" style="4" bestFit="1" customWidth="1"/>
    <col min="3855" max="4096" width="11.42578125" style="4"/>
    <col min="4097" max="4097" width="2.5703125" style="4" customWidth="1"/>
    <col min="4098" max="4098" width="22.42578125" style="4" customWidth="1"/>
    <col min="4099" max="4099" width="12.140625" style="4" bestFit="1" customWidth="1"/>
    <col min="4100" max="4100" width="8.140625" style="4" customWidth="1"/>
    <col min="4101" max="4101" width="8.5703125" style="4" customWidth="1"/>
    <col min="4102" max="4102" width="17" style="4" bestFit="1" customWidth="1"/>
    <col min="4103" max="4103" width="16.7109375" style="4" bestFit="1" customWidth="1"/>
    <col min="4104" max="4104" width="18" style="4" bestFit="1" customWidth="1"/>
    <col min="4105" max="4105" width="17.7109375" style="4" bestFit="1" customWidth="1"/>
    <col min="4106" max="4106" width="15.7109375" style="4" customWidth="1"/>
    <col min="4107" max="4107" width="16.28515625" style="4" customWidth="1"/>
    <col min="4108" max="4108" width="15.140625" style="4" customWidth="1"/>
    <col min="4109" max="4109" width="14.28515625" style="4" customWidth="1"/>
    <col min="4110" max="4110" width="14.5703125" style="4" bestFit="1" customWidth="1"/>
    <col min="4111" max="4352" width="11.42578125" style="4"/>
    <col min="4353" max="4353" width="2.5703125" style="4" customWidth="1"/>
    <col min="4354" max="4354" width="22.42578125" style="4" customWidth="1"/>
    <col min="4355" max="4355" width="12.140625" style="4" bestFit="1" customWidth="1"/>
    <col min="4356" max="4356" width="8.140625" style="4" customWidth="1"/>
    <col min="4357" max="4357" width="8.5703125" style="4" customWidth="1"/>
    <col min="4358" max="4358" width="17" style="4" bestFit="1" customWidth="1"/>
    <col min="4359" max="4359" width="16.7109375" style="4" bestFit="1" customWidth="1"/>
    <col min="4360" max="4360" width="18" style="4" bestFit="1" customWidth="1"/>
    <col min="4361" max="4361" width="17.7109375" style="4" bestFit="1" customWidth="1"/>
    <col min="4362" max="4362" width="15.7109375" style="4" customWidth="1"/>
    <col min="4363" max="4363" width="16.28515625" style="4" customWidth="1"/>
    <col min="4364" max="4364" width="15.140625" style="4" customWidth="1"/>
    <col min="4365" max="4365" width="14.28515625" style="4" customWidth="1"/>
    <col min="4366" max="4366" width="14.5703125" style="4" bestFit="1" customWidth="1"/>
    <col min="4367" max="4608" width="11.42578125" style="4"/>
    <col min="4609" max="4609" width="2.5703125" style="4" customWidth="1"/>
    <col min="4610" max="4610" width="22.42578125" style="4" customWidth="1"/>
    <col min="4611" max="4611" width="12.140625" style="4" bestFit="1" customWidth="1"/>
    <col min="4612" max="4612" width="8.140625" style="4" customWidth="1"/>
    <col min="4613" max="4613" width="8.5703125" style="4" customWidth="1"/>
    <col min="4614" max="4614" width="17" style="4" bestFit="1" customWidth="1"/>
    <col min="4615" max="4615" width="16.7109375" style="4" bestFit="1" customWidth="1"/>
    <col min="4616" max="4616" width="18" style="4" bestFit="1" customWidth="1"/>
    <col min="4617" max="4617" width="17.7109375" style="4" bestFit="1" customWidth="1"/>
    <col min="4618" max="4618" width="15.7109375" style="4" customWidth="1"/>
    <col min="4619" max="4619" width="16.28515625" style="4" customWidth="1"/>
    <col min="4620" max="4620" width="15.140625" style="4" customWidth="1"/>
    <col min="4621" max="4621" width="14.28515625" style="4" customWidth="1"/>
    <col min="4622" max="4622" width="14.5703125" style="4" bestFit="1" customWidth="1"/>
    <col min="4623" max="4864" width="11.42578125" style="4"/>
    <col min="4865" max="4865" width="2.5703125" style="4" customWidth="1"/>
    <col min="4866" max="4866" width="22.42578125" style="4" customWidth="1"/>
    <col min="4867" max="4867" width="12.140625" style="4" bestFit="1" customWidth="1"/>
    <col min="4868" max="4868" width="8.140625" style="4" customWidth="1"/>
    <col min="4869" max="4869" width="8.5703125" style="4" customWidth="1"/>
    <col min="4870" max="4870" width="17" style="4" bestFit="1" customWidth="1"/>
    <col min="4871" max="4871" width="16.7109375" style="4" bestFit="1" customWidth="1"/>
    <col min="4872" max="4872" width="18" style="4" bestFit="1" customWidth="1"/>
    <col min="4873" max="4873" width="17.7109375" style="4" bestFit="1" customWidth="1"/>
    <col min="4874" max="4874" width="15.7109375" style="4" customWidth="1"/>
    <col min="4875" max="4875" width="16.28515625" style="4" customWidth="1"/>
    <col min="4876" max="4876" width="15.140625" style="4" customWidth="1"/>
    <col min="4877" max="4877" width="14.28515625" style="4" customWidth="1"/>
    <col min="4878" max="4878" width="14.5703125" style="4" bestFit="1" customWidth="1"/>
    <col min="4879" max="5120" width="11.42578125" style="4"/>
    <col min="5121" max="5121" width="2.5703125" style="4" customWidth="1"/>
    <col min="5122" max="5122" width="22.42578125" style="4" customWidth="1"/>
    <col min="5123" max="5123" width="12.140625" style="4" bestFit="1" customWidth="1"/>
    <col min="5124" max="5124" width="8.140625" style="4" customWidth="1"/>
    <col min="5125" max="5125" width="8.5703125" style="4" customWidth="1"/>
    <col min="5126" max="5126" width="17" style="4" bestFit="1" customWidth="1"/>
    <col min="5127" max="5127" width="16.7109375" style="4" bestFit="1" customWidth="1"/>
    <col min="5128" max="5128" width="18" style="4" bestFit="1" customWidth="1"/>
    <col min="5129" max="5129" width="17.7109375" style="4" bestFit="1" customWidth="1"/>
    <col min="5130" max="5130" width="15.7109375" style="4" customWidth="1"/>
    <col min="5131" max="5131" width="16.28515625" style="4" customWidth="1"/>
    <col min="5132" max="5132" width="15.140625" style="4" customWidth="1"/>
    <col min="5133" max="5133" width="14.28515625" style="4" customWidth="1"/>
    <col min="5134" max="5134" width="14.5703125" style="4" bestFit="1" customWidth="1"/>
    <col min="5135" max="5376" width="11.42578125" style="4"/>
    <col min="5377" max="5377" width="2.5703125" style="4" customWidth="1"/>
    <col min="5378" max="5378" width="22.42578125" style="4" customWidth="1"/>
    <col min="5379" max="5379" width="12.140625" style="4" bestFit="1" customWidth="1"/>
    <col min="5380" max="5380" width="8.140625" style="4" customWidth="1"/>
    <col min="5381" max="5381" width="8.5703125" style="4" customWidth="1"/>
    <col min="5382" max="5382" width="17" style="4" bestFit="1" customWidth="1"/>
    <col min="5383" max="5383" width="16.7109375" style="4" bestFit="1" customWidth="1"/>
    <col min="5384" max="5384" width="18" style="4" bestFit="1" customWidth="1"/>
    <col min="5385" max="5385" width="17.7109375" style="4" bestFit="1" customWidth="1"/>
    <col min="5386" max="5386" width="15.7109375" style="4" customWidth="1"/>
    <col min="5387" max="5387" width="16.28515625" style="4" customWidth="1"/>
    <col min="5388" max="5388" width="15.140625" style="4" customWidth="1"/>
    <col min="5389" max="5389" width="14.28515625" style="4" customWidth="1"/>
    <col min="5390" max="5390" width="14.5703125" style="4" bestFit="1" customWidth="1"/>
    <col min="5391" max="5632" width="11.42578125" style="4"/>
    <col min="5633" max="5633" width="2.5703125" style="4" customWidth="1"/>
    <col min="5634" max="5634" width="22.42578125" style="4" customWidth="1"/>
    <col min="5635" max="5635" width="12.140625" style="4" bestFit="1" customWidth="1"/>
    <col min="5636" max="5636" width="8.140625" style="4" customWidth="1"/>
    <col min="5637" max="5637" width="8.5703125" style="4" customWidth="1"/>
    <col min="5638" max="5638" width="17" style="4" bestFit="1" customWidth="1"/>
    <col min="5639" max="5639" width="16.7109375" style="4" bestFit="1" customWidth="1"/>
    <col min="5640" max="5640" width="18" style="4" bestFit="1" customWidth="1"/>
    <col min="5641" max="5641" width="17.7109375" style="4" bestFit="1" customWidth="1"/>
    <col min="5642" max="5642" width="15.7109375" style="4" customWidth="1"/>
    <col min="5643" max="5643" width="16.28515625" style="4" customWidth="1"/>
    <col min="5644" max="5644" width="15.140625" style="4" customWidth="1"/>
    <col min="5645" max="5645" width="14.28515625" style="4" customWidth="1"/>
    <col min="5646" max="5646" width="14.5703125" style="4" bestFit="1" customWidth="1"/>
    <col min="5647" max="5888" width="11.42578125" style="4"/>
    <col min="5889" max="5889" width="2.5703125" style="4" customWidth="1"/>
    <col min="5890" max="5890" width="22.42578125" style="4" customWidth="1"/>
    <col min="5891" max="5891" width="12.140625" style="4" bestFit="1" customWidth="1"/>
    <col min="5892" max="5892" width="8.140625" style="4" customWidth="1"/>
    <col min="5893" max="5893" width="8.5703125" style="4" customWidth="1"/>
    <col min="5894" max="5894" width="17" style="4" bestFit="1" customWidth="1"/>
    <col min="5895" max="5895" width="16.7109375" style="4" bestFit="1" customWidth="1"/>
    <col min="5896" max="5896" width="18" style="4" bestFit="1" customWidth="1"/>
    <col min="5897" max="5897" width="17.7109375" style="4" bestFit="1" customWidth="1"/>
    <col min="5898" max="5898" width="15.7109375" style="4" customWidth="1"/>
    <col min="5899" max="5899" width="16.28515625" style="4" customWidth="1"/>
    <col min="5900" max="5900" width="15.140625" style="4" customWidth="1"/>
    <col min="5901" max="5901" width="14.28515625" style="4" customWidth="1"/>
    <col min="5902" max="5902" width="14.5703125" style="4" bestFit="1" customWidth="1"/>
    <col min="5903" max="6144" width="11.42578125" style="4"/>
    <col min="6145" max="6145" width="2.5703125" style="4" customWidth="1"/>
    <col min="6146" max="6146" width="22.42578125" style="4" customWidth="1"/>
    <col min="6147" max="6147" width="12.140625" style="4" bestFit="1" customWidth="1"/>
    <col min="6148" max="6148" width="8.140625" style="4" customWidth="1"/>
    <col min="6149" max="6149" width="8.5703125" style="4" customWidth="1"/>
    <col min="6150" max="6150" width="17" style="4" bestFit="1" customWidth="1"/>
    <col min="6151" max="6151" width="16.7109375" style="4" bestFit="1" customWidth="1"/>
    <col min="6152" max="6152" width="18" style="4" bestFit="1" customWidth="1"/>
    <col min="6153" max="6153" width="17.7109375" style="4" bestFit="1" customWidth="1"/>
    <col min="6154" max="6154" width="15.7109375" style="4" customWidth="1"/>
    <col min="6155" max="6155" width="16.28515625" style="4" customWidth="1"/>
    <col min="6156" max="6156" width="15.140625" style="4" customWidth="1"/>
    <col min="6157" max="6157" width="14.28515625" style="4" customWidth="1"/>
    <col min="6158" max="6158" width="14.5703125" style="4" bestFit="1" customWidth="1"/>
    <col min="6159" max="6400" width="11.42578125" style="4"/>
    <col min="6401" max="6401" width="2.5703125" style="4" customWidth="1"/>
    <col min="6402" max="6402" width="22.42578125" style="4" customWidth="1"/>
    <col min="6403" max="6403" width="12.140625" style="4" bestFit="1" customWidth="1"/>
    <col min="6404" max="6404" width="8.140625" style="4" customWidth="1"/>
    <col min="6405" max="6405" width="8.5703125" style="4" customWidth="1"/>
    <col min="6406" max="6406" width="17" style="4" bestFit="1" customWidth="1"/>
    <col min="6407" max="6407" width="16.7109375" style="4" bestFit="1" customWidth="1"/>
    <col min="6408" max="6408" width="18" style="4" bestFit="1" customWidth="1"/>
    <col min="6409" max="6409" width="17.7109375" style="4" bestFit="1" customWidth="1"/>
    <col min="6410" max="6410" width="15.7109375" style="4" customWidth="1"/>
    <col min="6411" max="6411" width="16.28515625" style="4" customWidth="1"/>
    <col min="6412" max="6412" width="15.140625" style="4" customWidth="1"/>
    <col min="6413" max="6413" width="14.28515625" style="4" customWidth="1"/>
    <col min="6414" max="6414" width="14.5703125" style="4" bestFit="1" customWidth="1"/>
    <col min="6415" max="6656" width="11.42578125" style="4"/>
    <col min="6657" max="6657" width="2.5703125" style="4" customWidth="1"/>
    <col min="6658" max="6658" width="22.42578125" style="4" customWidth="1"/>
    <col min="6659" max="6659" width="12.140625" style="4" bestFit="1" customWidth="1"/>
    <col min="6660" max="6660" width="8.140625" style="4" customWidth="1"/>
    <col min="6661" max="6661" width="8.5703125" style="4" customWidth="1"/>
    <col min="6662" max="6662" width="17" style="4" bestFit="1" customWidth="1"/>
    <col min="6663" max="6663" width="16.7109375" style="4" bestFit="1" customWidth="1"/>
    <col min="6664" max="6664" width="18" style="4" bestFit="1" customWidth="1"/>
    <col min="6665" max="6665" width="17.7109375" style="4" bestFit="1" customWidth="1"/>
    <col min="6666" max="6666" width="15.7109375" style="4" customWidth="1"/>
    <col min="6667" max="6667" width="16.28515625" style="4" customWidth="1"/>
    <col min="6668" max="6668" width="15.140625" style="4" customWidth="1"/>
    <col min="6669" max="6669" width="14.28515625" style="4" customWidth="1"/>
    <col min="6670" max="6670" width="14.5703125" style="4" bestFit="1" customWidth="1"/>
    <col min="6671" max="6912" width="11.42578125" style="4"/>
    <col min="6913" max="6913" width="2.5703125" style="4" customWidth="1"/>
    <col min="6914" max="6914" width="22.42578125" style="4" customWidth="1"/>
    <col min="6915" max="6915" width="12.140625" style="4" bestFit="1" customWidth="1"/>
    <col min="6916" max="6916" width="8.140625" style="4" customWidth="1"/>
    <col min="6917" max="6917" width="8.5703125" style="4" customWidth="1"/>
    <col min="6918" max="6918" width="17" style="4" bestFit="1" customWidth="1"/>
    <col min="6919" max="6919" width="16.7109375" style="4" bestFit="1" customWidth="1"/>
    <col min="6920" max="6920" width="18" style="4" bestFit="1" customWidth="1"/>
    <col min="6921" max="6921" width="17.7109375" style="4" bestFit="1" customWidth="1"/>
    <col min="6922" max="6922" width="15.7109375" style="4" customWidth="1"/>
    <col min="6923" max="6923" width="16.28515625" style="4" customWidth="1"/>
    <col min="6924" max="6924" width="15.140625" style="4" customWidth="1"/>
    <col min="6925" max="6925" width="14.28515625" style="4" customWidth="1"/>
    <col min="6926" max="6926" width="14.5703125" style="4" bestFit="1" customWidth="1"/>
    <col min="6927" max="7168" width="11.42578125" style="4"/>
    <col min="7169" max="7169" width="2.5703125" style="4" customWidth="1"/>
    <col min="7170" max="7170" width="22.42578125" style="4" customWidth="1"/>
    <col min="7171" max="7171" width="12.140625" style="4" bestFit="1" customWidth="1"/>
    <col min="7172" max="7172" width="8.140625" style="4" customWidth="1"/>
    <col min="7173" max="7173" width="8.5703125" style="4" customWidth="1"/>
    <col min="7174" max="7174" width="17" style="4" bestFit="1" customWidth="1"/>
    <col min="7175" max="7175" width="16.7109375" style="4" bestFit="1" customWidth="1"/>
    <col min="7176" max="7176" width="18" style="4" bestFit="1" customWidth="1"/>
    <col min="7177" max="7177" width="17.7109375" style="4" bestFit="1" customWidth="1"/>
    <col min="7178" max="7178" width="15.7109375" style="4" customWidth="1"/>
    <col min="7179" max="7179" width="16.28515625" style="4" customWidth="1"/>
    <col min="7180" max="7180" width="15.140625" style="4" customWidth="1"/>
    <col min="7181" max="7181" width="14.28515625" style="4" customWidth="1"/>
    <col min="7182" max="7182" width="14.5703125" style="4" bestFit="1" customWidth="1"/>
    <col min="7183" max="7424" width="11.42578125" style="4"/>
    <col min="7425" max="7425" width="2.5703125" style="4" customWidth="1"/>
    <col min="7426" max="7426" width="22.42578125" style="4" customWidth="1"/>
    <col min="7427" max="7427" width="12.140625" style="4" bestFit="1" customWidth="1"/>
    <col min="7428" max="7428" width="8.140625" style="4" customWidth="1"/>
    <col min="7429" max="7429" width="8.5703125" style="4" customWidth="1"/>
    <col min="7430" max="7430" width="17" style="4" bestFit="1" customWidth="1"/>
    <col min="7431" max="7431" width="16.7109375" style="4" bestFit="1" customWidth="1"/>
    <col min="7432" max="7432" width="18" style="4" bestFit="1" customWidth="1"/>
    <col min="7433" max="7433" width="17.7109375" style="4" bestFit="1" customWidth="1"/>
    <col min="7434" max="7434" width="15.7109375" style="4" customWidth="1"/>
    <col min="7435" max="7435" width="16.28515625" style="4" customWidth="1"/>
    <col min="7436" max="7436" width="15.140625" style="4" customWidth="1"/>
    <col min="7437" max="7437" width="14.28515625" style="4" customWidth="1"/>
    <col min="7438" max="7438" width="14.5703125" style="4" bestFit="1" customWidth="1"/>
    <col min="7439" max="7680" width="11.42578125" style="4"/>
    <col min="7681" max="7681" width="2.5703125" style="4" customWidth="1"/>
    <col min="7682" max="7682" width="22.42578125" style="4" customWidth="1"/>
    <col min="7683" max="7683" width="12.140625" style="4" bestFit="1" customWidth="1"/>
    <col min="7684" max="7684" width="8.140625" style="4" customWidth="1"/>
    <col min="7685" max="7685" width="8.5703125" style="4" customWidth="1"/>
    <col min="7686" max="7686" width="17" style="4" bestFit="1" customWidth="1"/>
    <col min="7687" max="7687" width="16.7109375" style="4" bestFit="1" customWidth="1"/>
    <col min="7688" max="7688" width="18" style="4" bestFit="1" customWidth="1"/>
    <col min="7689" max="7689" width="17.7109375" style="4" bestFit="1" customWidth="1"/>
    <col min="7690" max="7690" width="15.7109375" style="4" customWidth="1"/>
    <col min="7691" max="7691" width="16.28515625" style="4" customWidth="1"/>
    <col min="7692" max="7692" width="15.140625" style="4" customWidth="1"/>
    <col min="7693" max="7693" width="14.28515625" style="4" customWidth="1"/>
    <col min="7694" max="7694" width="14.5703125" style="4" bestFit="1" customWidth="1"/>
    <col min="7695" max="7936" width="11.42578125" style="4"/>
    <col min="7937" max="7937" width="2.5703125" style="4" customWidth="1"/>
    <col min="7938" max="7938" width="22.42578125" style="4" customWidth="1"/>
    <col min="7939" max="7939" width="12.140625" style="4" bestFit="1" customWidth="1"/>
    <col min="7940" max="7940" width="8.140625" style="4" customWidth="1"/>
    <col min="7941" max="7941" width="8.5703125" style="4" customWidth="1"/>
    <col min="7942" max="7942" width="17" style="4" bestFit="1" customWidth="1"/>
    <col min="7943" max="7943" width="16.7109375" style="4" bestFit="1" customWidth="1"/>
    <col min="7944" max="7944" width="18" style="4" bestFit="1" customWidth="1"/>
    <col min="7945" max="7945" width="17.7109375" style="4" bestFit="1" customWidth="1"/>
    <col min="7946" max="7946" width="15.7109375" style="4" customWidth="1"/>
    <col min="7947" max="7947" width="16.28515625" style="4" customWidth="1"/>
    <col min="7948" max="7948" width="15.140625" style="4" customWidth="1"/>
    <col min="7949" max="7949" width="14.28515625" style="4" customWidth="1"/>
    <col min="7950" max="7950" width="14.5703125" style="4" bestFit="1" customWidth="1"/>
    <col min="7951" max="8192" width="11.42578125" style="4"/>
    <col min="8193" max="8193" width="2.5703125" style="4" customWidth="1"/>
    <col min="8194" max="8194" width="22.42578125" style="4" customWidth="1"/>
    <col min="8195" max="8195" width="12.140625" style="4" bestFit="1" customWidth="1"/>
    <col min="8196" max="8196" width="8.140625" style="4" customWidth="1"/>
    <col min="8197" max="8197" width="8.5703125" style="4" customWidth="1"/>
    <col min="8198" max="8198" width="17" style="4" bestFit="1" customWidth="1"/>
    <col min="8199" max="8199" width="16.7109375" style="4" bestFit="1" customWidth="1"/>
    <col min="8200" max="8200" width="18" style="4" bestFit="1" customWidth="1"/>
    <col min="8201" max="8201" width="17.7109375" style="4" bestFit="1" customWidth="1"/>
    <col min="8202" max="8202" width="15.7109375" style="4" customWidth="1"/>
    <col min="8203" max="8203" width="16.28515625" style="4" customWidth="1"/>
    <col min="8204" max="8204" width="15.140625" style="4" customWidth="1"/>
    <col min="8205" max="8205" width="14.28515625" style="4" customWidth="1"/>
    <col min="8206" max="8206" width="14.5703125" style="4" bestFit="1" customWidth="1"/>
    <col min="8207" max="8448" width="11.42578125" style="4"/>
    <col min="8449" max="8449" width="2.5703125" style="4" customWidth="1"/>
    <col min="8450" max="8450" width="22.42578125" style="4" customWidth="1"/>
    <col min="8451" max="8451" width="12.140625" style="4" bestFit="1" customWidth="1"/>
    <col min="8452" max="8452" width="8.140625" style="4" customWidth="1"/>
    <col min="8453" max="8453" width="8.5703125" style="4" customWidth="1"/>
    <col min="8454" max="8454" width="17" style="4" bestFit="1" customWidth="1"/>
    <col min="8455" max="8455" width="16.7109375" style="4" bestFit="1" customWidth="1"/>
    <col min="8456" max="8456" width="18" style="4" bestFit="1" customWidth="1"/>
    <col min="8457" max="8457" width="17.7109375" style="4" bestFit="1" customWidth="1"/>
    <col min="8458" max="8458" width="15.7109375" style="4" customWidth="1"/>
    <col min="8459" max="8459" width="16.28515625" style="4" customWidth="1"/>
    <col min="8460" max="8460" width="15.140625" style="4" customWidth="1"/>
    <col min="8461" max="8461" width="14.28515625" style="4" customWidth="1"/>
    <col min="8462" max="8462" width="14.5703125" style="4" bestFit="1" customWidth="1"/>
    <col min="8463" max="8704" width="11.42578125" style="4"/>
    <col min="8705" max="8705" width="2.5703125" style="4" customWidth="1"/>
    <col min="8706" max="8706" width="22.42578125" style="4" customWidth="1"/>
    <col min="8707" max="8707" width="12.140625" style="4" bestFit="1" customWidth="1"/>
    <col min="8708" max="8708" width="8.140625" style="4" customWidth="1"/>
    <col min="8709" max="8709" width="8.5703125" style="4" customWidth="1"/>
    <col min="8710" max="8710" width="17" style="4" bestFit="1" customWidth="1"/>
    <col min="8711" max="8711" width="16.7109375" style="4" bestFit="1" customWidth="1"/>
    <col min="8712" max="8712" width="18" style="4" bestFit="1" customWidth="1"/>
    <col min="8713" max="8713" width="17.7109375" style="4" bestFit="1" customWidth="1"/>
    <col min="8714" max="8714" width="15.7109375" style="4" customWidth="1"/>
    <col min="8715" max="8715" width="16.28515625" style="4" customWidth="1"/>
    <col min="8716" max="8716" width="15.140625" style="4" customWidth="1"/>
    <col min="8717" max="8717" width="14.28515625" style="4" customWidth="1"/>
    <col min="8718" max="8718" width="14.5703125" style="4" bestFit="1" customWidth="1"/>
    <col min="8719" max="8960" width="11.42578125" style="4"/>
    <col min="8961" max="8961" width="2.5703125" style="4" customWidth="1"/>
    <col min="8962" max="8962" width="22.42578125" style="4" customWidth="1"/>
    <col min="8963" max="8963" width="12.140625" style="4" bestFit="1" customWidth="1"/>
    <col min="8964" max="8964" width="8.140625" style="4" customWidth="1"/>
    <col min="8965" max="8965" width="8.5703125" style="4" customWidth="1"/>
    <col min="8966" max="8966" width="17" style="4" bestFit="1" customWidth="1"/>
    <col min="8967" max="8967" width="16.7109375" style="4" bestFit="1" customWidth="1"/>
    <col min="8968" max="8968" width="18" style="4" bestFit="1" customWidth="1"/>
    <col min="8969" max="8969" width="17.7109375" style="4" bestFit="1" customWidth="1"/>
    <col min="8970" max="8970" width="15.7109375" style="4" customWidth="1"/>
    <col min="8971" max="8971" width="16.28515625" style="4" customWidth="1"/>
    <col min="8972" max="8972" width="15.140625" style="4" customWidth="1"/>
    <col min="8973" max="8973" width="14.28515625" style="4" customWidth="1"/>
    <col min="8974" max="8974" width="14.5703125" style="4" bestFit="1" customWidth="1"/>
    <col min="8975" max="9216" width="11.42578125" style="4"/>
    <col min="9217" max="9217" width="2.5703125" style="4" customWidth="1"/>
    <col min="9218" max="9218" width="22.42578125" style="4" customWidth="1"/>
    <col min="9219" max="9219" width="12.140625" style="4" bestFit="1" customWidth="1"/>
    <col min="9220" max="9220" width="8.140625" style="4" customWidth="1"/>
    <col min="9221" max="9221" width="8.5703125" style="4" customWidth="1"/>
    <col min="9222" max="9222" width="17" style="4" bestFit="1" customWidth="1"/>
    <col min="9223" max="9223" width="16.7109375" style="4" bestFit="1" customWidth="1"/>
    <col min="9224" max="9224" width="18" style="4" bestFit="1" customWidth="1"/>
    <col min="9225" max="9225" width="17.7109375" style="4" bestFit="1" customWidth="1"/>
    <col min="9226" max="9226" width="15.7109375" style="4" customWidth="1"/>
    <col min="9227" max="9227" width="16.28515625" style="4" customWidth="1"/>
    <col min="9228" max="9228" width="15.140625" style="4" customWidth="1"/>
    <col min="9229" max="9229" width="14.28515625" style="4" customWidth="1"/>
    <col min="9230" max="9230" width="14.5703125" style="4" bestFit="1" customWidth="1"/>
    <col min="9231" max="9472" width="11.42578125" style="4"/>
    <col min="9473" max="9473" width="2.5703125" style="4" customWidth="1"/>
    <col min="9474" max="9474" width="22.42578125" style="4" customWidth="1"/>
    <col min="9475" max="9475" width="12.140625" style="4" bestFit="1" customWidth="1"/>
    <col min="9476" max="9476" width="8.140625" style="4" customWidth="1"/>
    <col min="9477" max="9477" width="8.5703125" style="4" customWidth="1"/>
    <col min="9478" max="9478" width="17" style="4" bestFit="1" customWidth="1"/>
    <col min="9479" max="9479" width="16.7109375" style="4" bestFit="1" customWidth="1"/>
    <col min="9480" max="9480" width="18" style="4" bestFit="1" customWidth="1"/>
    <col min="9481" max="9481" width="17.7109375" style="4" bestFit="1" customWidth="1"/>
    <col min="9482" max="9482" width="15.7109375" style="4" customWidth="1"/>
    <col min="9483" max="9483" width="16.28515625" style="4" customWidth="1"/>
    <col min="9484" max="9484" width="15.140625" style="4" customWidth="1"/>
    <col min="9485" max="9485" width="14.28515625" style="4" customWidth="1"/>
    <col min="9486" max="9486" width="14.5703125" style="4" bestFit="1" customWidth="1"/>
    <col min="9487" max="9728" width="11.42578125" style="4"/>
    <col min="9729" max="9729" width="2.5703125" style="4" customWidth="1"/>
    <col min="9730" max="9730" width="22.42578125" style="4" customWidth="1"/>
    <col min="9731" max="9731" width="12.140625" style="4" bestFit="1" customWidth="1"/>
    <col min="9732" max="9732" width="8.140625" style="4" customWidth="1"/>
    <col min="9733" max="9733" width="8.5703125" style="4" customWidth="1"/>
    <col min="9734" max="9734" width="17" style="4" bestFit="1" customWidth="1"/>
    <col min="9735" max="9735" width="16.7109375" style="4" bestFit="1" customWidth="1"/>
    <col min="9736" max="9736" width="18" style="4" bestFit="1" customWidth="1"/>
    <col min="9737" max="9737" width="17.7109375" style="4" bestFit="1" customWidth="1"/>
    <col min="9738" max="9738" width="15.7109375" style="4" customWidth="1"/>
    <col min="9739" max="9739" width="16.28515625" style="4" customWidth="1"/>
    <col min="9740" max="9740" width="15.140625" style="4" customWidth="1"/>
    <col min="9741" max="9741" width="14.28515625" style="4" customWidth="1"/>
    <col min="9742" max="9742" width="14.5703125" style="4" bestFit="1" customWidth="1"/>
    <col min="9743" max="9984" width="11.42578125" style="4"/>
    <col min="9985" max="9985" width="2.5703125" style="4" customWidth="1"/>
    <col min="9986" max="9986" width="22.42578125" style="4" customWidth="1"/>
    <col min="9987" max="9987" width="12.140625" style="4" bestFit="1" customWidth="1"/>
    <col min="9988" max="9988" width="8.140625" style="4" customWidth="1"/>
    <col min="9989" max="9989" width="8.5703125" style="4" customWidth="1"/>
    <col min="9990" max="9990" width="17" style="4" bestFit="1" customWidth="1"/>
    <col min="9991" max="9991" width="16.7109375" style="4" bestFit="1" customWidth="1"/>
    <col min="9992" max="9992" width="18" style="4" bestFit="1" customWidth="1"/>
    <col min="9993" max="9993" width="17.7109375" style="4" bestFit="1" customWidth="1"/>
    <col min="9994" max="9994" width="15.7109375" style="4" customWidth="1"/>
    <col min="9995" max="9995" width="16.28515625" style="4" customWidth="1"/>
    <col min="9996" max="9996" width="15.140625" style="4" customWidth="1"/>
    <col min="9997" max="9997" width="14.28515625" style="4" customWidth="1"/>
    <col min="9998" max="9998" width="14.5703125" style="4" bestFit="1" customWidth="1"/>
    <col min="9999" max="10240" width="11.42578125" style="4"/>
    <col min="10241" max="10241" width="2.5703125" style="4" customWidth="1"/>
    <col min="10242" max="10242" width="22.42578125" style="4" customWidth="1"/>
    <col min="10243" max="10243" width="12.140625" style="4" bestFit="1" customWidth="1"/>
    <col min="10244" max="10244" width="8.140625" style="4" customWidth="1"/>
    <col min="10245" max="10245" width="8.5703125" style="4" customWidth="1"/>
    <col min="10246" max="10246" width="17" style="4" bestFit="1" customWidth="1"/>
    <col min="10247" max="10247" width="16.7109375" style="4" bestFit="1" customWidth="1"/>
    <col min="10248" max="10248" width="18" style="4" bestFit="1" customWidth="1"/>
    <col min="10249" max="10249" width="17.7109375" style="4" bestFit="1" customWidth="1"/>
    <col min="10250" max="10250" width="15.7109375" style="4" customWidth="1"/>
    <col min="10251" max="10251" width="16.28515625" style="4" customWidth="1"/>
    <col min="10252" max="10252" width="15.140625" style="4" customWidth="1"/>
    <col min="10253" max="10253" width="14.28515625" style="4" customWidth="1"/>
    <col min="10254" max="10254" width="14.5703125" style="4" bestFit="1" customWidth="1"/>
    <col min="10255" max="10496" width="11.42578125" style="4"/>
    <col min="10497" max="10497" width="2.5703125" style="4" customWidth="1"/>
    <col min="10498" max="10498" width="22.42578125" style="4" customWidth="1"/>
    <col min="10499" max="10499" width="12.140625" style="4" bestFit="1" customWidth="1"/>
    <col min="10500" max="10500" width="8.140625" style="4" customWidth="1"/>
    <col min="10501" max="10501" width="8.5703125" style="4" customWidth="1"/>
    <col min="10502" max="10502" width="17" style="4" bestFit="1" customWidth="1"/>
    <col min="10503" max="10503" width="16.7109375" style="4" bestFit="1" customWidth="1"/>
    <col min="10504" max="10504" width="18" style="4" bestFit="1" customWidth="1"/>
    <col min="10505" max="10505" width="17.7109375" style="4" bestFit="1" customWidth="1"/>
    <col min="10506" max="10506" width="15.7109375" style="4" customWidth="1"/>
    <col min="10507" max="10507" width="16.28515625" style="4" customWidth="1"/>
    <col min="10508" max="10508" width="15.140625" style="4" customWidth="1"/>
    <col min="10509" max="10509" width="14.28515625" style="4" customWidth="1"/>
    <col min="10510" max="10510" width="14.5703125" style="4" bestFit="1" customWidth="1"/>
    <col min="10511" max="10752" width="11.42578125" style="4"/>
    <col min="10753" max="10753" width="2.5703125" style="4" customWidth="1"/>
    <col min="10754" max="10754" width="22.42578125" style="4" customWidth="1"/>
    <col min="10755" max="10755" width="12.140625" style="4" bestFit="1" customWidth="1"/>
    <col min="10756" max="10756" width="8.140625" style="4" customWidth="1"/>
    <col min="10757" max="10757" width="8.5703125" style="4" customWidth="1"/>
    <col min="10758" max="10758" width="17" style="4" bestFit="1" customWidth="1"/>
    <col min="10759" max="10759" width="16.7109375" style="4" bestFit="1" customWidth="1"/>
    <col min="10760" max="10760" width="18" style="4" bestFit="1" customWidth="1"/>
    <col min="10761" max="10761" width="17.7109375" style="4" bestFit="1" customWidth="1"/>
    <col min="10762" max="10762" width="15.7109375" style="4" customWidth="1"/>
    <col min="10763" max="10763" width="16.28515625" style="4" customWidth="1"/>
    <col min="10764" max="10764" width="15.140625" style="4" customWidth="1"/>
    <col min="10765" max="10765" width="14.28515625" style="4" customWidth="1"/>
    <col min="10766" max="10766" width="14.5703125" style="4" bestFit="1" customWidth="1"/>
    <col min="10767" max="11008" width="11.42578125" style="4"/>
    <col min="11009" max="11009" width="2.5703125" style="4" customWidth="1"/>
    <col min="11010" max="11010" width="22.42578125" style="4" customWidth="1"/>
    <col min="11011" max="11011" width="12.140625" style="4" bestFit="1" customWidth="1"/>
    <col min="11012" max="11012" width="8.140625" style="4" customWidth="1"/>
    <col min="11013" max="11013" width="8.5703125" style="4" customWidth="1"/>
    <col min="11014" max="11014" width="17" style="4" bestFit="1" customWidth="1"/>
    <col min="11015" max="11015" width="16.7109375" style="4" bestFit="1" customWidth="1"/>
    <col min="11016" max="11016" width="18" style="4" bestFit="1" customWidth="1"/>
    <col min="11017" max="11017" width="17.7109375" style="4" bestFit="1" customWidth="1"/>
    <col min="11018" max="11018" width="15.7109375" style="4" customWidth="1"/>
    <col min="11019" max="11019" width="16.28515625" style="4" customWidth="1"/>
    <col min="11020" max="11020" width="15.140625" style="4" customWidth="1"/>
    <col min="11021" max="11021" width="14.28515625" style="4" customWidth="1"/>
    <col min="11022" max="11022" width="14.5703125" style="4" bestFit="1" customWidth="1"/>
    <col min="11023" max="11264" width="11.42578125" style="4"/>
    <col min="11265" max="11265" width="2.5703125" style="4" customWidth="1"/>
    <col min="11266" max="11266" width="22.42578125" style="4" customWidth="1"/>
    <col min="11267" max="11267" width="12.140625" style="4" bestFit="1" customWidth="1"/>
    <col min="11268" max="11268" width="8.140625" style="4" customWidth="1"/>
    <col min="11269" max="11269" width="8.5703125" style="4" customWidth="1"/>
    <col min="11270" max="11270" width="17" style="4" bestFit="1" customWidth="1"/>
    <col min="11271" max="11271" width="16.7109375" style="4" bestFit="1" customWidth="1"/>
    <col min="11272" max="11272" width="18" style="4" bestFit="1" customWidth="1"/>
    <col min="11273" max="11273" width="17.7109375" style="4" bestFit="1" customWidth="1"/>
    <col min="11274" max="11274" width="15.7109375" style="4" customWidth="1"/>
    <col min="11275" max="11275" width="16.28515625" style="4" customWidth="1"/>
    <col min="11276" max="11276" width="15.140625" style="4" customWidth="1"/>
    <col min="11277" max="11277" width="14.28515625" style="4" customWidth="1"/>
    <col min="11278" max="11278" width="14.5703125" style="4" bestFit="1" customWidth="1"/>
    <col min="11279" max="11520" width="11.42578125" style="4"/>
    <col min="11521" max="11521" width="2.5703125" style="4" customWidth="1"/>
    <col min="11522" max="11522" width="22.42578125" style="4" customWidth="1"/>
    <col min="11523" max="11523" width="12.140625" style="4" bestFit="1" customWidth="1"/>
    <col min="11524" max="11524" width="8.140625" style="4" customWidth="1"/>
    <col min="11525" max="11525" width="8.5703125" style="4" customWidth="1"/>
    <col min="11526" max="11526" width="17" style="4" bestFit="1" customWidth="1"/>
    <col min="11527" max="11527" width="16.7109375" style="4" bestFit="1" customWidth="1"/>
    <col min="11528" max="11528" width="18" style="4" bestFit="1" customWidth="1"/>
    <col min="11529" max="11529" width="17.7109375" style="4" bestFit="1" customWidth="1"/>
    <col min="11530" max="11530" width="15.7109375" style="4" customWidth="1"/>
    <col min="11531" max="11531" width="16.28515625" style="4" customWidth="1"/>
    <col min="11532" max="11532" width="15.140625" style="4" customWidth="1"/>
    <col min="11533" max="11533" width="14.28515625" style="4" customWidth="1"/>
    <col min="11534" max="11534" width="14.5703125" style="4" bestFit="1" customWidth="1"/>
    <col min="11535" max="11776" width="11.42578125" style="4"/>
    <col min="11777" max="11777" width="2.5703125" style="4" customWidth="1"/>
    <col min="11778" max="11778" width="22.42578125" style="4" customWidth="1"/>
    <col min="11779" max="11779" width="12.140625" style="4" bestFit="1" customWidth="1"/>
    <col min="11780" max="11780" width="8.140625" style="4" customWidth="1"/>
    <col min="11781" max="11781" width="8.5703125" style="4" customWidth="1"/>
    <col min="11782" max="11782" width="17" style="4" bestFit="1" customWidth="1"/>
    <col min="11783" max="11783" width="16.7109375" style="4" bestFit="1" customWidth="1"/>
    <col min="11784" max="11784" width="18" style="4" bestFit="1" customWidth="1"/>
    <col min="11785" max="11785" width="17.7109375" style="4" bestFit="1" customWidth="1"/>
    <col min="11786" max="11786" width="15.7109375" style="4" customWidth="1"/>
    <col min="11787" max="11787" width="16.28515625" style="4" customWidth="1"/>
    <col min="11788" max="11788" width="15.140625" style="4" customWidth="1"/>
    <col min="11789" max="11789" width="14.28515625" style="4" customWidth="1"/>
    <col min="11790" max="11790" width="14.5703125" style="4" bestFit="1" customWidth="1"/>
    <col min="11791" max="12032" width="11.42578125" style="4"/>
    <col min="12033" max="12033" width="2.5703125" style="4" customWidth="1"/>
    <col min="12034" max="12034" width="22.42578125" style="4" customWidth="1"/>
    <col min="12035" max="12035" width="12.140625" style="4" bestFit="1" customWidth="1"/>
    <col min="12036" max="12036" width="8.140625" style="4" customWidth="1"/>
    <col min="12037" max="12037" width="8.5703125" style="4" customWidth="1"/>
    <col min="12038" max="12038" width="17" style="4" bestFit="1" customWidth="1"/>
    <col min="12039" max="12039" width="16.7109375" style="4" bestFit="1" customWidth="1"/>
    <col min="12040" max="12040" width="18" style="4" bestFit="1" customWidth="1"/>
    <col min="12041" max="12041" width="17.7109375" style="4" bestFit="1" customWidth="1"/>
    <col min="12042" max="12042" width="15.7109375" style="4" customWidth="1"/>
    <col min="12043" max="12043" width="16.28515625" style="4" customWidth="1"/>
    <col min="12044" max="12044" width="15.140625" style="4" customWidth="1"/>
    <col min="12045" max="12045" width="14.28515625" style="4" customWidth="1"/>
    <col min="12046" max="12046" width="14.5703125" style="4" bestFit="1" customWidth="1"/>
    <col min="12047" max="12288" width="11.42578125" style="4"/>
    <col min="12289" max="12289" width="2.5703125" style="4" customWidth="1"/>
    <col min="12290" max="12290" width="22.42578125" style="4" customWidth="1"/>
    <col min="12291" max="12291" width="12.140625" style="4" bestFit="1" customWidth="1"/>
    <col min="12292" max="12292" width="8.140625" style="4" customWidth="1"/>
    <col min="12293" max="12293" width="8.5703125" style="4" customWidth="1"/>
    <col min="12294" max="12294" width="17" style="4" bestFit="1" customWidth="1"/>
    <col min="12295" max="12295" width="16.7109375" style="4" bestFit="1" customWidth="1"/>
    <col min="12296" max="12296" width="18" style="4" bestFit="1" customWidth="1"/>
    <col min="12297" max="12297" width="17.7109375" style="4" bestFit="1" customWidth="1"/>
    <col min="12298" max="12298" width="15.7109375" style="4" customWidth="1"/>
    <col min="12299" max="12299" width="16.28515625" style="4" customWidth="1"/>
    <col min="12300" max="12300" width="15.140625" style="4" customWidth="1"/>
    <col min="12301" max="12301" width="14.28515625" style="4" customWidth="1"/>
    <col min="12302" max="12302" width="14.5703125" style="4" bestFit="1" customWidth="1"/>
    <col min="12303" max="12544" width="11.42578125" style="4"/>
    <col min="12545" max="12545" width="2.5703125" style="4" customWidth="1"/>
    <col min="12546" max="12546" width="22.42578125" style="4" customWidth="1"/>
    <col min="12547" max="12547" width="12.140625" style="4" bestFit="1" customWidth="1"/>
    <col min="12548" max="12548" width="8.140625" style="4" customWidth="1"/>
    <col min="12549" max="12549" width="8.5703125" style="4" customWidth="1"/>
    <col min="12550" max="12550" width="17" style="4" bestFit="1" customWidth="1"/>
    <col min="12551" max="12551" width="16.7109375" style="4" bestFit="1" customWidth="1"/>
    <col min="12552" max="12552" width="18" style="4" bestFit="1" customWidth="1"/>
    <col min="12553" max="12553" width="17.7109375" style="4" bestFit="1" customWidth="1"/>
    <col min="12554" max="12554" width="15.7109375" style="4" customWidth="1"/>
    <col min="12555" max="12555" width="16.28515625" style="4" customWidth="1"/>
    <col min="12556" max="12556" width="15.140625" style="4" customWidth="1"/>
    <col min="12557" max="12557" width="14.28515625" style="4" customWidth="1"/>
    <col min="12558" max="12558" width="14.5703125" style="4" bestFit="1" customWidth="1"/>
    <col min="12559" max="12800" width="11.42578125" style="4"/>
    <col min="12801" max="12801" width="2.5703125" style="4" customWidth="1"/>
    <col min="12802" max="12802" width="22.42578125" style="4" customWidth="1"/>
    <col min="12803" max="12803" width="12.140625" style="4" bestFit="1" customWidth="1"/>
    <col min="12804" max="12804" width="8.140625" style="4" customWidth="1"/>
    <col min="12805" max="12805" width="8.5703125" style="4" customWidth="1"/>
    <col min="12806" max="12806" width="17" style="4" bestFit="1" customWidth="1"/>
    <col min="12807" max="12807" width="16.7109375" style="4" bestFit="1" customWidth="1"/>
    <col min="12808" max="12808" width="18" style="4" bestFit="1" customWidth="1"/>
    <col min="12809" max="12809" width="17.7109375" style="4" bestFit="1" customWidth="1"/>
    <col min="12810" max="12810" width="15.7109375" style="4" customWidth="1"/>
    <col min="12811" max="12811" width="16.28515625" style="4" customWidth="1"/>
    <col min="12812" max="12812" width="15.140625" style="4" customWidth="1"/>
    <col min="12813" max="12813" width="14.28515625" style="4" customWidth="1"/>
    <col min="12814" max="12814" width="14.5703125" style="4" bestFit="1" customWidth="1"/>
    <col min="12815" max="13056" width="11.42578125" style="4"/>
    <col min="13057" max="13057" width="2.5703125" style="4" customWidth="1"/>
    <col min="13058" max="13058" width="22.42578125" style="4" customWidth="1"/>
    <col min="13059" max="13059" width="12.140625" style="4" bestFit="1" customWidth="1"/>
    <col min="13060" max="13060" width="8.140625" style="4" customWidth="1"/>
    <col min="13061" max="13061" width="8.5703125" style="4" customWidth="1"/>
    <col min="13062" max="13062" width="17" style="4" bestFit="1" customWidth="1"/>
    <col min="13063" max="13063" width="16.7109375" style="4" bestFit="1" customWidth="1"/>
    <col min="13064" max="13064" width="18" style="4" bestFit="1" customWidth="1"/>
    <col min="13065" max="13065" width="17.7109375" style="4" bestFit="1" customWidth="1"/>
    <col min="13066" max="13066" width="15.7109375" style="4" customWidth="1"/>
    <col min="13067" max="13067" width="16.28515625" style="4" customWidth="1"/>
    <col min="13068" max="13068" width="15.140625" style="4" customWidth="1"/>
    <col min="13069" max="13069" width="14.28515625" style="4" customWidth="1"/>
    <col min="13070" max="13070" width="14.5703125" style="4" bestFit="1" customWidth="1"/>
    <col min="13071" max="13312" width="11.42578125" style="4"/>
    <col min="13313" max="13313" width="2.5703125" style="4" customWidth="1"/>
    <col min="13314" max="13314" width="22.42578125" style="4" customWidth="1"/>
    <col min="13315" max="13315" width="12.140625" style="4" bestFit="1" customWidth="1"/>
    <col min="13316" max="13316" width="8.140625" style="4" customWidth="1"/>
    <col min="13317" max="13317" width="8.5703125" style="4" customWidth="1"/>
    <col min="13318" max="13318" width="17" style="4" bestFit="1" customWidth="1"/>
    <col min="13319" max="13319" width="16.7109375" style="4" bestFit="1" customWidth="1"/>
    <col min="13320" max="13320" width="18" style="4" bestFit="1" customWidth="1"/>
    <col min="13321" max="13321" width="17.7109375" style="4" bestFit="1" customWidth="1"/>
    <col min="13322" max="13322" width="15.7109375" style="4" customWidth="1"/>
    <col min="13323" max="13323" width="16.28515625" style="4" customWidth="1"/>
    <col min="13324" max="13324" width="15.140625" style="4" customWidth="1"/>
    <col min="13325" max="13325" width="14.28515625" style="4" customWidth="1"/>
    <col min="13326" max="13326" width="14.5703125" style="4" bestFit="1" customWidth="1"/>
    <col min="13327" max="13568" width="11.42578125" style="4"/>
    <col min="13569" max="13569" width="2.5703125" style="4" customWidth="1"/>
    <col min="13570" max="13570" width="22.42578125" style="4" customWidth="1"/>
    <col min="13571" max="13571" width="12.140625" style="4" bestFit="1" customWidth="1"/>
    <col min="13572" max="13572" width="8.140625" style="4" customWidth="1"/>
    <col min="13573" max="13573" width="8.5703125" style="4" customWidth="1"/>
    <col min="13574" max="13574" width="17" style="4" bestFit="1" customWidth="1"/>
    <col min="13575" max="13575" width="16.7109375" style="4" bestFit="1" customWidth="1"/>
    <col min="13576" max="13576" width="18" style="4" bestFit="1" customWidth="1"/>
    <col min="13577" max="13577" width="17.7109375" style="4" bestFit="1" customWidth="1"/>
    <col min="13578" max="13578" width="15.7109375" style="4" customWidth="1"/>
    <col min="13579" max="13579" width="16.28515625" style="4" customWidth="1"/>
    <col min="13580" max="13580" width="15.140625" style="4" customWidth="1"/>
    <col min="13581" max="13581" width="14.28515625" style="4" customWidth="1"/>
    <col min="13582" max="13582" width="14.5703125" style="4" bestFit="1" customWidth="1"/>
    <col min="13583" max="13824" width="11.42578125" style="4"/>
    <col min="13825" max="13825" width="2.5703125" style="4" customWidth="1"/>
    <col min="13826" max="13826" width="22.42578125" style="4" customWidth="1"/>
    <col min="13827" max="13827" width="12.140625" style="4" bestFit="1" customWidth="1"/>
    <col min="13828" max="13828" width="8.140625" style="4" customWidth="1"/>
    <col min="13829" max="13829" width="8.5703125" style="4" customWidth="1"/>
    <col min="13830" max="13830" width="17" style="4" bestFit="1" customWidth="1"/>
    <col min="13831" max="13831" width="16.7109375" style="4" bestFit="1" customWidth="1"/>
    <col min="13832" max="13832" width="18" style="4" bestFit="1" customWidth="1"/>
    <col min="13833" max="13833" width="17.7109375" style="4" bestFit="1" customWidth="1"/>
    <col min="13834" max="13834" width="15.7109375" style="4" customWidth="1"/>
    <col min="13835" max="13835" width="16.28515625" style="4" customWidth="1"/>
    <col min="13836" max="13836" width="15.140625" style="4" customWidth="1"/>
    <col min="13837" max="13837" width="14.28515625" style="4" customWidth="1"/>
    <col min="13838" max="13838" width="14.5703125" style="4" bestFit="1" customWidth="1"/>
    <col min="13839" max="14080" width="11.42578125" style="4"/>
    <col min="14081" max="14081" width="2.5703125" style="4" customWidth="1"/>
    <col min="14082" max="14082" width="22.42578125" style="4" customWidth="1"/>
    <col min="14083" max="14083" width="12.140625" style="4" bestFit="1" customWidth="1"/>
    <col min="14084" max="14084" width="8.140625" style="4" customWidth="1"/>
    <col min="14085" max="14085" width="8.5703125" style="4" customWidth="1"/>
    <col min="14086" max="14086" width="17" style="4" bestFit="1" customWidth="1"/>
    <col min="14087" max="14087" width="16.7109375" style="4" bestFit="1" customWidth="1"/>
    <col min="14088" max="14088" width="18" style="4" bestFit="1" customWidth="1"/>
    <col min="14089" max="14089" width="17.7109375" style="4" bestFit="1" customWidth="1"/>
    <col min="14090" max="14090" width="15.7109375" style="4" customWidth="1"/>
    <col min="14091" max="14091" width="16.28515625" style="4" customWidth="1"/>
    <col min="14092" max="14092" width="15.140625" style="4" customWidth="1"/>
    <col min="14093" max="14093" width="14.28515625" style="4" customWidth="1"/>
    <col min="14094" max="14094" width="14.5703125" style="4" bestFit="1" customWidth="1"/>
    <col min="14095" max="14336" width="11.42578125" style="4"/>
    <col min="14337" max="14337" width="2.5703125" style="4" customWidth="1"/>
    <col min="14338" max="14338" width="22.42578125" style="4" customWidth="1"/>
    <col min="14339" max="14339" width="12.140625" style="4" bestFit="1" customWidth="1"/>
    <col min="14340" max="14340" width="8.140625" style="4" customWidth="1"/>
    <col min="14341" max="14341" width="8.5703125" style="4" customWidth="1"/>
    <col min="14342" max="14342" width="17" style="4" bestFit="1" customWidth="1"/>
    <col min="14343" max="14343" width="16.7109375" style="4" bestFit="1" customWidth="1"/>
    <col min="14344" max="14344" width="18" style="4" bestFit="1" customWidth="1"/>
    <col min="14345" max="14345" width="17.7109375" style="4" bestFit="1" customWidth="1"/>
    <col min="14346" max="14346" width="15.7109375" style="4" customWidth="1"/>
    <col min="14347" max="14347" width="16.28515625" style="4" customWidth="1"/>
    <col min="14348" max="14348" width="15.140625" style="4" customWidth="1"/>
    <col min="14349" max="14349" width="14.28515625" style="4" customWidth="1"/>
    <col min="14350" max="14350" width="14.5703125" style="4" bestFit="1" customWidth="1"/>
    <col min="14351" max="14592" width="11.42578125" style="4"/>
    <col min="14593" max="14593" width="2.5703125" style="4" customWidth="1"/>
    <col min="14594" max="14594" width="22.42578125" style="4" customWidth="1"/>
    <col min="14595" max="14595" width="12.140625" style="4" bestFit="1" customWidth="1"/>
    <col min="14596" max="14596" width="8.140625" style="4" customWidth="1"/>
    <col min="14597" max="14597" width="8.5703125" style="4" customWidth="1"/>
    <col min="14598" max="14598" width="17" style="4" bestFit="1" customWidth="1"/>
    <col min="14599" max="14599" width="16.7109375" style="4" bestFit="1" customWidth="1"/>
    <col min="14600" max="14600" width="18" style="4" bestFit="1" customWidth="1"/>
    <col min="14601" max="14601" width="17.7109375" style="4" bestFit="1" customWidth="1"/>
    <col min="14602" max="14602" width="15.7109375" style="4" customWidth="1"/>
    <col min="14603" max="14603" width="16.28515625" style="4" customWidth="1"/>
    <col min="14604" max="14604" width="15.140625" style="4" customWidth="1"/>
    <col min="14605" max="14605" width="14.28515625" style="4" customWidth="1"/>
    <col min="14606" max="14606" width="14.5703125" style="4" bestFit="1" customWidth="1"/>
    <col min="14607" max="14848" width="11.42578125" style="4"/>
    <col min="14849" max="14849" width="2.5703125" style="4" customWidth="1"/>
    <col min="14850" max="14850" width="22.42578125" style="4" customWidth="1"/>
    <col min="14851" max="14851" width="12.140625" style="4" bestFit="1" customWidth="1"/>
    <col min="14852" max="14852" width="8.140625" style="4" customWidth="1"/>
    <col min="14853" max="14853" width="8.5703125" style="4" customWidth="1"/>
    <col min="14854" max="14854" width="17" style="4" bestFit="1" customWidth="1"/>
    <col min="14855" max="14855" width="16.7109375" style="4" bestFit="1" customWidth="1"/>
    <col min="14856" max="14856" width="18" style="4" bestFit="1" customWidth="1"/>
    <col min="14857" max="14857" width="17.7109375" style="4" bestFit="1" customWidth="1"/>
    <col min="14858" max="14858" width="15.7109375" style="4" customWidth="1"/>
    <col min="14859" max="14859" width="16.28515625" style="4" customWidth="1"/>
    <col min="14860" max="14860" width="15.140625" style="4" customWidth="1"/>
    <col min="14861" max="14861" width="14.28515625" style="4" customWidth="1"/>
    <col min="14862" max="14862" width="14.5703125" style="4" bestFit="1" customWidth="1"/>
    <col min="14863" max="15104" width="11.42578125" style="4"/>
    <col min="15105" max="15105" width="2.5703125" style="4" customWidth="1"/>
    <col min="15106" max="15106" width="22.42578125" style="4" customWidth="1"/>
    <col min="15107" max="15107" width="12.140625" style="4" bestFit="1" customWidth="1"/>
    <col min="15108" max="15108" width="8.140625" style="4" customWidth="1"/>
    <col min="15109" max="15109" width="8.5703125" style="4" customWidth="1"/>
    <col min="15110" max="15110" width="17" style="4" bestFit="1" customWidth="1"/>
    <col min="15111" max="15111" width="16.7109375" style="4" bestFit="1" customWidth="1"/>
    <col min="15112" max="15112" width="18" style="4" bestFit="1" customWidth="1"/>
    <col min="15113" max="15113" width="17.7109375" style="4" bestFit="1" customWidth="1"/>
    <col min="15114" max="15114" width="15.7109375" style="4" customWidth="1"/>
    <col min="15115" max="15115" width="16.28515625" style="4" customWidth="1"/>
    <col min="15116" max="15116" width="15.140625" style="4" customWidth="1"/>
    <col min="15117" max="15117" width="14.28515625" style="4" customWidth="1"/>
    <col min="15118" max="15118" width="14.5703125" style="4" bestFit="1" customWidth="1"/>
    <col min="15119" max="15360" width="11.42578125" style="4"/>
    <col min="15361" max="15361" width="2.5703125" style="4" customWidth="1"/>
    <col min="15362" max="15362" width="22.42578125" style="4" customWidth="1"/>
    <col min="15363" max="15363" width="12.140625" style="4" bestFit="1" customWidth="1"/>
    <col min="15364" max="15364" width="8.140625" style="4" customWidth="1"/>
    <col min="15365" max="15365" width="8.5703125" style="4" customWidth="1"/>
    <col min="15366" max="15366" width="17" style="4" bestFit="1" customWidth="1"/>
    <col min="15367" max="15367" width="16.7109375" style="4" bestFit="1" customWidth="1"/>
    <col min="15368" max="15368" width="18" style="4" bestFit="1" customWidth="1"/>
    <col min="15369" max="15369" width="17.7109375" style="4" bestFit="1" customWidth="1"/>
    <col min="15370" max="15370" width="15.7109375" style="4" customWidth="1"/>
    <col min="15371" max="15371" width="16.28515625" style="4" customWidth="1"/>
    <col min="15372" max="15372" width="15.140625" style="4" customWidth="1"/>
    <col min="15373" max="15373" width="14.28515625" style="4" customWidth="1"/>
    <col min="15374" max="15374" width="14.5703125" style="4" bestFit="1" customWidth="1"/>
    <col min="15375" max="15616" width="11.42578125" style="4"/>
    <col min="15617" max="15617" width="2.5703125" style="4" customWidth="1"/>
    <col min="15618" max="15618" width="22.42578125" style="4" customWidth="1"/>
    <col min="15619" max="15619" width="12.140625" style="4" bestFit="1" customWidth="1"/>
    <col min="15620" max="15620" width="8.140625" style="4" customWidth="1"/>
    <col min="15621" max="15621" width="8.5703125" style="4" customWidth="1"/>
    <col min="15622" max="15622" width="17" style="4" bestFit="1" customWidth="1"/>
    <col min="15623" max="15623" width="16.7109375" style="4" bestFit="1" customWidth="1"/>
    <col min="15624" max="15624" width="18" style="4" bestFit="1" customWidth="1"/>
    <col min="15625" max="15625" width="17.7109375" style="4" bestFit="1" customWidth="1"/>
    <col min="15626" max="15626" width="15.7109375" style="4" customWidth="1"/>
    <col min="15627" max="15627" width="16.28515625" style="4" customWidth="1"/>
    <col min="15628" max="15628" width="15.140625" style="4" customWidth="1"/>
    <col min="15629" max="15629" width="14.28515625" style="4" customWidth="1"/>
    <col min="15630" max="15630" width="14.5703125" style="4" bestFit="1" customWidth="1"/>
    <col min="15631" max="15872" width="11.42578125" style="4"/>
    <col min="15873" max="15873" width="2.5703125" style="4" customWidth="1"/>
    <col min="15874" max="15874" width="22.42578125" style="4" customWidth="1"/>
    <col min="15875" max="15875" width="12.140625" style="4" bestFit="1" customWidth="1"/>
    <col min="15876" max="15876" width="8.140625" style="4" customWidth="1"/>
    <col min="15877" max="15877" width="8.5703125" style="4" customWidth="1"/>
    <col min="15878" max="15878" width="17" style="4" bestFit="1" customWidth="1"/>
    <col min="15879" max="15879" width="16.7109375" style="4" bestFit="1" customWidth="1"/>
    <col min="15880" max="15880" width="18" style="4" bestFit="1" customWidth="1"/>
    <col min="15881" max="15881" width="17.7109375" style="4" bestFit="1" customWidth="1"/>
    <col min="15882" max="15882" width="15.7109375" style="4" customWidth="1"/>
    <col min="15883" max="15883" width="16.28515625" style="4" customWidth="1"/>
    <col min="15884" max="15884" width="15.140625" style="4" customWidth="1"/>
    <col min="15885" max="15885" width="14.28515625" style="4" customWidth="1"/>
    <col min="15886" max="15886" width="14.5703125" style="4" bestFit="1" customWidth="1"/>
    <col min="15887" max="16128" width="11.42578125" style="4"/>
    <col min="16129" max="16129" width="2.5703125" style="4" customWidth="1"/>
    <col min="16130" max="16130" width="22.42578125" style="4" customWidth="1"/>
    <col min="16131" max="16131" width="12.140625" style="4" bestFit="1" customWidth="1"/>
    <col min="16132" max="16132" width="8.140625" style="4" customWidth="1"/>
    <col min="16133" max="16133" width="8.5703125" style="4" customWidth="1"/>
    <col min="16134" max="16134" width="17" style="4" bestFit="1" customWidth="1"/>
    <col min="16135" max="16135" width="16.7109375" style="4" bestFit="1" customWidth="1"/>
    <col min="16136" max="16136" width="18" style="4" bestFit="1" customWidth="1"/>
    <col min="16137" max="16137" width="17.7109375" style="4" bestFit="1" customWidth="1"/>
    <col min="16138" max="16138" width="15.7109375" style="4" customWidth="1"/>
    <col min="16139" max="16139" width="16.28515625" style="4" customWidth="1"/>
    <col min="16140" max="16140" width="15.140625" style="4" customWidth="1"/>
    <col min="16141" max="16141" width="14.28515625" style="4" customWidth="1"/>
    <col min="16142" max="16142" width="14.5703125" style="4" bestFit="1" customWidth="1"/>
    <col min="16143" max="16384" width="11.42578125" style="4"/>
  </cols>
  <sheetData>
    <row r="1" spans="1:14" x14ac:dyDescent="0.2">
      <c r="A1" s="1" t="s">
        <v>0</v>
      </c>
      <c r="B1" s="1"/>
      <c r="C1" s="2"/>
      <c r="D1" s="2"/>
      <c r="E1" s="3"/>
    </row>
    <row r="2" spans="1:14" x14ac:dyDescent="0.2">
      <c r="A2" s="5" t="s">
        <v>1</v>
      </c>
      <c r="B2" s="5"/>
      <c r="C2" s="2"/>
      <c r="D2" s="2"/>
    </row>
    <row r="3" spans="1:14" x14ac:dyDescent="0.2">
      <c r="A3" s="6" t="s">
        <v>85</v>
      </c>
      <c r="B3" s="5"/>
      <c r="C3" s="2"/>
      <c r="D3" s="2"/>
      <c r="M3" s="7"/>
    </row>
    <row r="4" spans="1:14" x14ac:dyDescent="0.2">
      <c r="A4" s="8" t="s">
        <v>3</v>
      </c>
      <c r="B4" s="8"/>
      <c r="C4" s="9" t="s">
        <v>4</v>
      </c>
      <c r="D4" s="71" t="s">
        <v>5</v>
      </c>
      <c r="E4" s="71"/>
      <c r="F4" s="9" t="s">
        <v>6</v>
      </c>
      <c r="G4" s="10" t="s">
        <v>7</v>
      </c>
      <c r="H4" s="10" t="s">
        <v>8</v>
      </c>
      <c r="I4" s="9" t="s">
        <v>9</v>
      </c>
      <c r="J4" s="9" t="s">
        <v>10</v>
      </c>
      <c r="K4" s="9" t="s">
        <v>10</v>
      </c>
      <c r="L4" s="9" t="s">
        <v>10</v>
      </c>
      <c r="M4" s="9" t="s">
        <v>10</v>
      </c>
      <c r="N4" s="3" t="s">
        <v>86</v>
      </c>
    </row>
    <row r="5" spans="1:14" x14ac:dyDescent="0.2">
      <c r="C5" s="11" t="s">
        <v>12</v>
      </c>
      <c r="D5" s="12" t="s">
        <v>13</v>
      </c>
      <c r="E5" s="12" t="s">
        <v>14</v>
      </c>
      <c r="F5" s="11" t="s">
        <v>15</v>
      </c>
      <c r="G5" s="11" t="s">
        <v>16</v>
      </c>
      <c r="H5" s="12" t="s">
        <v>17</v>
      </c>
      <c r="I5" s="12" t="s">
        <v>18</v>
      </c>
      <c r="J5" s="12" t="s">
        <v>19</v>
      </c>
      <c r="K5" s="12" t="s">
        <v>20</v>
      </c>
      <c r="L5" s="13" t="s">
        <v>21</v>
      </c>
      <c r="M5" s="14" t="s">
        <v>22</v>
      </c>
      <c r="N5" s="3" t="s">
        <v>23</v>
      </c>
    </row>
    <row r="6" spans="1:14" x14ac:dyDescent="0.2">
      <c r="A6" s="7"/>
      <c r="B6" s="7"/>
      <c r="C6" s="7"/>
      <c r="D6" s="7"/>
      <c r="E6" s="7"/>
      <c r="F6" s="15" t="s">
        <v>24</v>
      </c>
      <c r="G6" s="16" t="s">
        <v>12</v>
      </c>
      <c r="H6" s="15" t="s">
        <v>24</v>
      </c>
      <c r="I6" s="17"/>
      <c r="J6" s="7"/>
      <c r="K6" s="7"/>
      <c r="L6" s="7"/>
      <c r="M6" s="7"/>
    </row>
    <row r="7" spans="1:14" x14ac:dyDescent="0.2">
      <c r="F7" s="11"/>
      <c r="G7" s="18"/>
      <c r="H7" s="11"/>
      <c r="I7" s="12"/>
    </row>
    <row r="8" spans="1:14" x14ac:dyDescent="0.2">
      <c r="A8" s="72" t="s">
        <v>25</v>
      </c>
      <c r="B8" s="72"/>
      <c r="C8" s="4">
        <v>1633626</v>
      </c>
      <c r="D8" s="19">
        <v>0.52</v>
      </c>
      <c r="E8" s="19">
        <v>0.4</v>
      </c>
      <c r="F8" s="4">
        <v>1879577</v>
      </c>
      <c r="G8" s="4">
        <f t="shared" ref="G8:G33" si="0">+J8+K8+L8+M8</f>
        <v>2465953</v>
      </c>
      <c r="H8" s="20">
        <f t="shared" ref="H8:H34" si="1">G8-F8</f>
        <v>586376</v>
      </c>
      <c r="I8" s="4">
        <v>3156</v>
      </c>
      <c r="J8" s="4">
        <v>0</v>
      </c>
      <c r="K8" s="4">
        <f>239436+6515</f>
        <v>245951</v>
      </c>
      <c r="L8" s="4">
        <v>0</v>
      </c>
      <c r="M8" s="4">
        <v>2220002</v>
      </c>
      <c r="N8" s="4">
        <f>+F8-C8</f>
        <v>245951</v>
      </c>
    </row>
    <row r="9" spans="1:14" x14ac:dyDescent="0.2">
      <c r="A9" s="72" t="s">
        <v>26</v>
      </c>
      <c r="B9" s="72"/>
      <c r="C9" s="4">
        <v>1633626</v>
      </c>
      <c r="D9" s="19">
        <v>0.38</v>
      </c>
      <c r="E9" s="19">
        <v>0.38</v>
      </c>
      <c r="F9" s="4">
        <v>1633626</v>
      </c>
      <c r="G9" s="4">
        <f t="shared" si="0"/>
        <v>2394762</v>
      </c>
      <c r="H9" s="20">
        <f>G9-F9</f>
        <v>761136</v>
      </c>
      <c r="I9" s="4">
        <v>9401</v>
      </c>
      <c r="J9" s="4">
        <v>0</v>
      </c>
      <c r="K9" s="4">
        <v>0</v>
      </c>
      <c r="L9" s="4">
        <v>0</v>
      </c>
      <c r="M9" s="4">
        <v>2394762</v>
      </c>
      <c r="N9" s="4">
        <f>+F9-C9</f>
        <v>0</v>
      </c>
    </row>
    <row r="10" spans="1:14" s="20" customFormat="1" x14ac:dyDescent="0.2">
      <c r="A10" s="21" t="s">
        <v>28</v>
      </c>
      <c r="B10" s="21"/>
      <c r="C10" s="4">
        <v>3842924</v>
      </c>
      <c r="D10" s="19">
        <v>2.2599999999999998</v>
      </c>
      <c r="E10" s="19">
        <v>0.53</v>
      </c>
      <c r="F10" s="4">
        <v>16715945</v>
      </c>
      <c r="G10" s="20">
        <f t="shared" si="0"/>
        <v>19858611</v>
      </c>
      <c r="H10" s="20">
        <f t="shared" si="1"/>
        <v>3142666</v>
      </c>
      <c r="I10" s="4">
        <v>1608776</v>
      </c>
      <c r="J10" s="4">
        <v>0</v>
      </c>
      <c r="K10" s="4">
        <f>2110384+10319924+7412+493688</f>
        <v>12931408</v>
      </c>
      <c r="L10" s="4">
        <v>0</v>
      </c>
      <c r="M10" s="4">
        <v>6927203</v>
      </c>
      <c r="N10" s="4">
        <f t="shared" ref="N10:N34" si="2">+F10-C10</f>
        <v>12873021</v>
      </c>
    </row>
    <row r="11" spans="1:14" x14ac:dyDescent="0.2">
      <c r="A11" s="21" t="s">
        <v>29</v>
      </c>
      <c r="B11" s="21"/>
      <c r="C11" s="4">
        <v>7072086</v>
      </c>
      <c r="D11" s="19">
        <v>6.53</v>
      </c>
      <c r="E11" s="19">
        <v>0.15</v>
      </c>
      <c r="F11" s="4">
        <v>107398623</v>
      </c>
      <c r="G11" s="4">
        <f t="shared" si="0"/>
        <v>116351501</v>
      </c>
      <c r="H11" s="20">
        <f>G11-F11</f>
        <v>8952878</v>
      </c>
      <c r="I11" s="4">
        <v>6498</v>
      </c>
      <c r="J11" s="4">
        <v>95502974</v>
      </c>
      <c r="K11" s="4">
        <f>460253+4363310</f>
        <v>4823563</v>
      </c>
      <c r="L11" s="4">
        <v>0</v>
      </c>
      <c r="M11" s="4">
        <v>16024964</v>
      </c>
      <c r="N11" s="4">
        <f t="shared" si="2"/>
        <v>100326537</v>
      </c>
    </row>
    <row r="12" spans="1:14" x14ac:dyDescent="0.2">
      <c r="A12" s="21" t="s">
        <v>31</v>
      </c>
      <c r="B12" s="21"/>
      <c r="C12" s="4">
        <v>84325512</v>
      </c>
      <c r="D12" s="19">
        <v>9.4</v>
      </c>
      <c r="E12" s="19">
        <v>0.46</v>
      </c>
      <c r="F12" s="4">
        <v>1320693035</v>
      </c>
      <c r="G12" s="20">
        <f t="shared" si="0"/>
        <v>1337560796</v>
      </c>
      <c r="H12" s="20">
        <f>G12-F12</f>
        <v>16867761</v>
      </c>
      <c r="I12" s="4">
        <v>36212955</v>
      </c>
      <c r="J12" s="4">
        <v>1194888630</v>
      </c>
      <c r="K12" s="4">
        <f>3278505+29974250+8325762</f>
        <v>41578517</v>
      </c>
      <c r="L12" s="4">
        <v>5087</v>
      </c>
      <c r="M12" s="4">
        <v>101088562</v>
      </c>
      <c r="N12" s="4">
        <f>+F12-C12</f>
        <v>1236367523</v>
      </c>
    </row>
    <row r="13" spans="1:14" x14ac:dyDescent="0.2">
      <c r="A13" s="73" t="s">
        <v>30</v>
      </c>
      <c r="B13" s="74"/>
      <c r="C13" s="4">
        <v>4798234</v>
      </c>
      <c r="D13" s="19">
        <v>5.7</v>
      </c>
      <c r="E13" s="19">
        <v>0.54</v>
      </c>
      <c r="F13" s="4">
        <v>48836218</v>
      </c>
      <c r="G13" s="4">
        <f t="shared" si="0"/>
        <v>53735404</v>
      </c>
      <c r="H13" s="20">
        <f t="shared" si="1"/>
        <v>4899186</v>
      </c>
      <c r="I13" s="4">
        <v>306747</v>
      </c>
      <c r="J13" s="4">
        <v>24362533</v>
      </c>
      <c r="K13" s="4">
        <f>2230780+8346123+565313+8755758</f>
        <v>19897974</v>
      </c>
      <c r="L13" s="4">
        <v>0</v>
      </c>
      <c r="M13" s="4">
        <v>9474897</v>
      </c>
      <c r="N13" s="4">
        <f t="shared" si="2"/>
        <v>44037984</v>
      </c>
    </row>
    <row r="14" spans="1:14" s="20" customFormat="1" x14ac:dyDescent="0.2">
      <c r="A14" s="21" t="s">
        <v>32</v>
      </c>
      <c r="B14" s="6"/>
      <c r="C14" s="4">
        <v>9905667</v>
      </c>
      <c r="D14" s="19">
        <v>2.94</v>
      </c>
      <c r="E14" s="19">
        <v>0.95</v>
      </c>
      <c r="F14" s="4">
        <v>30473147</v>
      </c>
      <c r="G14" s="20">
        <f t="shared" si="0"/>
        <v>31975926</v>
      </c>
      <c r="H14" s="20">
        <f t="shared" si="1"/>
        <v>1502779</v>
      </c>
      <c r="I14" s="4">
        <v>265008</v>
      </c>
      <c r="J14" s="4">
        <v>0</v>
      </c>
      <c r="K14" s="4">
        <f>2099401+18468079</f>
        <v>20567480</v>
      </c>
      <c r="L14" s="4">
        <v>0</v>
      </c>
      <c r="M14" s="4">
        <v>11408446</v>
      </c>
      <c r="N14" s="20">
        <f t="shared" si="2"/>
        <v>20567480</v>
      </c>
    </row>
    <row r="15" spans="1:14" x14ac:dyDescent="0.2">
      <c r="A15" s="21" t="s">
        <v>33</v>
      </c>
      <c r="B15" s="6"/>
      <c r="C15" s="4">
        <v>41062042</v>
      </c>
      <c r="D15" s="19">
        <v>8.14</v>
      </c>
      <c r="E15" s="19">
        <v>0.27</v>
      </c>
      <c r="F15" s="4">
        <v>657708637</v>
      </c>
      <c r="G15" s="4">
        <f t="shared" si="0"/>
        <v>685016022</v>
      </c>
      <c r="H15" s="20">
        <f t="shared" si="1"/>
        <v>27307385</v>
      </c>
      <c r="I15" s="4">
        <v>3688464</v>
      </c>
      <c r="J15" s="4">
        <v>534249315</v>
      </c>
      <c r="K15" s="4">
        <f>10944646+31652214+5325263+30944010</f>
        <v>78866133</v>
      </c>
      <c r="L15" s="4">
        <v>2419644</v>
      </c>
      <c r="M15" s="4">
        <v>69480930</v>
      </c>
      <c r="N15" s="4">
        <f t="shared" si="2"/>
        <v>616646595</v>
      </c>
    </row>
    <row r="16" spans="1:14" s="23" customFormat="1" x14ac:dyDescent="0.2">
      <c r="A16" s="21" t="s">
        <v>34</v>
      </c>
      <c r="B16" s="21"/>
      <c r="C16" s="20">
        <v>6909234</v>
      </c>
      <c r="D16" s="22">
        <v>5.08</v>
      </c>
      <c r="E16" s="22">
        <v>0.19</v>
      </c>
      <c r="F16" s="20">
        <v>95073096</v>
      </c>
      <c r="G16" s="20">
        <f t="shared" si="0"/>
        <v>107528766</v>
      </c>
      <c r="H16" s="20">
        <f t="shared" si="1"/>
        <v>12455670</v>
      </c>
      <c r="I16" s="20">
        <v>144437</v>
      </c>
      <c r="J16" s="20">
        <v>84992424</v>
      </c>
      <c r="K16" s="20">
        <f>1488325+795619+1512184</f>
        <v>3796128</v>
      </c>
      <c r="L16" s="20">
        <v>0</v>
      </c>
      <c r="M16" s="20">
        <v>18740214</v>
      </c>
      <c r="N16" s="20">
        <f t="shared" si="2"/>
        <v>88163862</v>
      </c>
    </row>
    <row r="17" spans="1:14" s="23" customFormat="1" x14ac:dyDescent="0.2">
      <c r="A17" s="21" t="s">
        <v>87</v>
      </c>
      <c r="B17" s="21"/>
      <c r="C17" s="20">
        <v>1633626</v>
      </c>
      <c r="D17" s="22">
        <v>0</v>
      </c>
      <c r="E17" s="22">
        <v>0</v>
      </c>
      <c r="F17" s="20">
        <v>1633626</v>
      </c>
      <c r="G17" s="4">
        <f t="shared" si="0"/>
        <v>1633297</v>
      </c>
      <c r="H17" s="20">
        <f>G17-F17</f>
        <v>-329</v>
      </c>
      <c r="I17" s="20">
        <v>0</v>
      </c>
      <c r="J17" s="20">
        <v>0</v>
      </c>
      <c r="K17" s="20">
        <v>0</v>
      </c>
      <c r="L17" s="20">
        <v>0</v>
      </c>
      <c r="M17" s="20">
        <v>1633297</v>
      </c>
      <c r="N17" s="4">
        <f t="shared" si="2"/>
        <v>0</v>
      </c>
    </row>
    <row r="18" spans="1:14" x14ac:dyDescent="0.2">
      <c r="A18" s="21" t="s">
        <v>35</v>
      </c>
      <c r="B18" s="6"/>
      <c r="C18" s="4">
        <v>18190548</v>
      </c>
      <c r="D18" s="19">
        <v>6.35</v>
      </c>
      <c r="E18" s="19">
        <v>0.28999999999999998</v>
      </c>
      <c r="F18" s="4">
        <v>295947144</v>
      </c>
      <c r="G18" s="4">
        <f t="shared" si="0"/>
        <v>323485423</v>
      </c>
      <c r="H18" s="20">
        <f t="shared" si="1"/>
        <v>27538279</v>
      </c>
      <c r="I18" s="4">
        <v>1154075</v>
      </c>
      <c r="J18" s="4">
        <v>275773379</v>
      </c>
      <c r="K18" s="4">
        <f>28148+1955069</f>
        <v>1983217</v>
      </c>
      <c r="L18" s="4">
        <v>0</v>
      </c>
      <c r="M18" s="4">
        <v>45728827</v>
      </c>
      <c r="N18" s="4">
        <f>+F18-C18</f>
        <v>277756596</v>
      </c>
    </row>
    <row r="19" spans="1:14" x14ac:dyDescent="0.2">
      <c r="A19" s="21" t="s">
        <v>36</v>
      </c>
      <c r="B19" s="21"/>
      <c r="C19" s="4">
        <v>117168817</v>
      </c>
      <c r="D19" s="19">
        <v>7.42</v>
      </c>
      <c r="E19" s="19">
        <v>0.51</v>
      </c>
      <c r="F19" s="4">
        <v>1757766767</v>
      </c>
      <c r="G19" s="4">
        <f t="shared" si="0"/>
        <v>1832833798</v>
      </c>
      <c r="H19" s="20">
        <f t="shared" si="1"/>
        <v>75067031</v>
      </c>
      <c r="I19" s="4">
        <v>52964143</v>
      </c>
      <c r="J19" s="4">
        <v>1511872403</v>
      </c>
      <c r="K19" s="4">
        <f>1941564+44593725+19936757+51640233</f>
        <v>118112279</v>
      </c>
      <c r="L19" s="4">
        <v>418123</v>
      </c>
      <c r="M19" s="4">
        <v>202430993</v>
      </c>
      <c r="N19" s="4">
        <f t="shared" si="2"/>
        <v>1640597950</v>
      </c>
    </row>
    <row r="20" spans="1:14" x14ac:dyDescent="0.2">
      <c r="A20" s="21" t="s">
        <v>37</v>
      </c>
      <c r="B20" s="21"/>
      <c r="C20" s="4">
        <v>21099707</v>
      </c>
      <c r="D20" s="19">
        <v>6.95</v>
      </c>
      <c r="E20" s="19">
        <v>0.12</v>
      </c>
      <c r="F20" s="4">
        <v>302499009</v>
      </c>
      <c r="G20" s="4">
        <f t="shared" si="0"/>
        <v>319503255</v>
      </c>
      <c r="H20" s="20">
        <f t="shared" si="1"/>
        <v>17004246</v>
      </c>
      <c r="I20" s="4">
        <v>3671974</v>
      </c>
      <c r="J20" s="4">
        <v>249018336</v>
      </c>
      <c r="K20" s="4">
        <f>2485883+11617730+4532321+14461128</f>
        <v>33097062</v>
      </c>
      <c r="L20" s="4">
        <v>370983</v>
      </c>
      <c r="M20" s="4">
        <v>37016874</v>
      </c>
      <c r="N20" s="4">
        <f t="shared" si="2"/>
        <v>281399302</v>
      </c>
    </row>
    <row r="21" spans="1:14" x14ac:dyDescent="0.2">
      <c r="A21" s="21" t="s">
        <v>38</v>
      </c>
      <c r="B21" s="21"/>
      <c r="C21" s="4">
        <v>24023524</v>
      </c>
      <c r="D21" s="19">
        <v>11.72</v>
      </c>
      <c r="E21" s="19">
        <v>0.33</v>
      </c>
      <c r="F21" s="4">
        <v>402517975</v>
      </c>
      <c r="G21" s="4">
        <f t="shared" si="0"/>
        <v>406794294</v>
      </c>
      <c r="H21" s="20">
        <f t="shared" si="1"/>
        <v>4276319</v>
      </c>
      <c r="I21" s="4">
        <v>2839809</v>
      </c>
      <c r="J21" s="4">
        <v>312197135</v>
      </c>
      <c r="K21" s="4">
        <f>2357814+14797121+21703191+27941170</f>
        <v>66799296</v>
      </c>
      <c r="L21" s="4">
        <v>650408</v>
      </c>
      <c r="M21" s="4">
        <v>27147455</v>
      </c>
      <c r="N21" s="4">
        <f t="shared" si="2"/>
        <v>378494451</v>
      </c>
    </row>
    <row r="22" spans="1:14" x14ac:dyDescent="0.2">
      <c r="A22" s="21" t="s">
        <v>39</v>
      </c>
      <c r="B22" s="21"/>
      <c r="C22" s="4">
        <v>1633626</v>
      </c>
      <c r="D22" s="19">
        <v>0.91</v>
      </c>
      <c r="E22" s="19">
        <v>7.0000000000000007E-2</v>
      </c>
      <c r="F22" s="4">
        <v>3935799</v>
      </c>
      <c r="G22" s="4">
        <f t="shared" si="0"/>
        <v>4801665</v>
      </c>
      <c r="H22" s="20">
        <f t="shared" si="1"/>
        <v>865866</v>
      </c>
      <c r="I22" s="4">
        <v>304298</v>
      </c>
      <c r="J22" s="4">
        <v>0</v>
      </c>
      <c r="K22" s="4">
        <f>331840+1970333</f>
        <v>2302173</v>
      </c>
      <c r="L22" s="4">
        <v>0</v>
      </c>
      <c r="M22" s="4">
        <v>2499492</v>
      </c>
      <c r="N22" s="4">
        <f t="shared" si="2"/>
        <v>2302173</v>
      </c>
    </row>
    <row r="23" spans="1:14" s="2" customFormat="1" x14ac:dyDescent="0.2">
      <c r="A23" s="21" t="s">
        <v>40</v>
      </c>
      <c r="B23" s="21"/>
      <c r="C23" s="4">
        <v>99227430</v>
      </c>
      <c r="D23" s="19">
        <v>10.01</v>
      </c>
      <c r="E23" s="19">
        <v>0.39</v>
      </c>
      <c r="F23" s="4">
        <v>1540478350</v>
      </c>
      <c r="G23" s="20">
        <f t="shared" si="0"/>
        <v>1547408544</v>
      </c>
      <c r="H23" s="20">
        <f t="shared" si="1"/>
        <v>6930194</v>
      </c>
      <c r="I23" s="4">
        <v>25195532</v>
      </c>
      <c r="J23" s="4">
        <v>1317124456</v>
      </c>
      <c r="K23" s="4">
        <f>5435491+56021865+11712393+36706920</f>
        <v>109876669</v>
      </c>
      <c r="L23" s="4">
        <v>298235</v>
      </c>
      <c r="M23" s="4">
        <v>120109184</v>
      </c>
      <c r="N23" s="4">
        <f t="shared" si="2"/>
        <v>1441250920</v>
      </c>
    </row>
    <row r="24" spans="1:14" s="2" customFormat="1" x14ac:dyDescent="0.2">
      <c r="A24" s="21" t="s">
        <v>41</v>
      </c>
      <c r="B24" s="21"/>
      <c r="C24" s="4">
        <v>13241207</v>
      </c>
      <c r="D24" s="19">
        <v>3.17</v>
      </c>
      <c r="E24" s="19">
        <v>0.4</v>
      </c>
      <c r="F24" s="4">
        <v>142310584</v>
      </c>
      <c r="G24" s="20">
        <f t="shared" si="0"/>
        <v>157151926</v>
      </c>
      <c r="H24" s="20">
        <f>G24-F24</f>
        <v>14841342</v>
      </c>
      <c r="I24" s="4">
        <v>9421213</v>
      </c>
      <c r="J24" s="4">
        <v>32183161</v>
      </c>
      <c r="K24" s="4">
        <f>5219602+49437764+1030220+42094848</f>
        <v>97782434</v>
      </c>
      <c r="L24" s="4">
        <v>774</v>
      </c>
      <c r="M24" s="4">
        <v>27185557</v>
      </c>
      <c r="N24" s="4">
        <f>+F24-C24</f>
        <v>129069377</v>
      </c>
    </row>
    <row r="25" spans="1:14" x14ac:dyDescent="0.2">
      <c r="A25" s="21" t="s">
        <v>88</v>
      </c>
      <c r="B25" s="6"/>
      <c r="C25" s="4">
        <v>30798400</v>
      </c>
      <c r="D25" s="19">
        <v>10.52</v>
      </c>
      <c r="E25" s="19">
        <v>0.99</v>
      </c>
      <c r="F25" s="4">
        <v>518765732</v>
      </c>
      <c r="G25" s="4">
        <f t="shared" si="0"/>
        <v>536366700</v>
      </c>
      <c r="H25" s="20">
        <f>G25-F25</f>
        <v>17600968</v>
      </c>
      <c r="I25" s="4">
        <v>112331</v>
      </c>
      <c r="J25" s="4">
        <v>450168796</v>
      </c>
      <c r="K25" s="4">
        <v>37798536</v>
      </c>
      <c r="L25" s="4">
        <v>0</v>
      </c>
      <c r="M25" s="4">
        <v>48399368</v>
      </c>
      <c r="N25" s="4">
        <f>+F25-C25</f>
        <v>487967332</v>
      </c>
    </row>
    <row r="26" spans="1:14" s="20" customFormat="1" x14ac:dyDescent="0.2">
      <c r="A26" s="21" t="s">
        <v>42</v>
      </c>
      <c r="B26" s="21"/>
      <c r="C26" s="4">
        <v>1633626</v>
      </c>
      <c r="D26" s="19">
        <v>6.24</v>
      </c>
      <c r="E26" s="19">
        <v>0.2</v>
      </c>
      <c r="F26" s="4">
        <v>22338546</v>
      </c>
      <c r="G26" s="20">
        <f t="shared" si="0"/>
        <v>23761500</v>
      </c>
      <c r="H26" s="20">
        <f t="shared" ref="H26:H33" si="3">G26-F26</f>
        <v>1422954</v>
      </c>
      <c r="I26" s="4">
        <v>46414</v>
      </c>
      <c r="J26" s="4">
        <v>19568215</v>
      </c>
      <c r="K26" s="4">
        <f>70684+784898+366451</f>
        <v>1222033</v>
      </c>
      <c r="L26" s="4">
        <v>0</v>
      </c>
      <c r="M26" s="4">
        <v>2971252</v>
      </c>
      <c r="N26" s="20">
        <f t="shared" si="2"/>
        <v>20704920</v>
      </c>
    </row>
    <row r="27" spans="1:14" s="20" customFormat="1" x14ac:dyDescent="0.2">
      <c r="A27" s="21" t="s">
        <v>43</v>
      </c>
      <c r="B27" s="21"/>
      <c r="C27" s="4">
        <v>76672274</v>
      </c>
      <c r="D27" s="19">
        <v>9.7200000000000006</v>
      </c>
      <c r="E27" s="19">
        <v>0.32</v>
      </c>
      <c r="F27" s="4">
        <v>1184168744</v>
      </c>
      <c r="G27" s="20">
        <f t="shared" si="0"/>
        <v>1192451623</v>
      </c>
      <c r="H27" s="20">
        <f t="shared" si="3"/>
        <v>8282879</v>
      </c>
      <c r="I27" s="4">
        <v>6436131</v>
      </c>
      <c r="J27" s="4">
        <v>1048616164</v>
      </c>
      <c r="K27" s="4">
        <f>10470626+22105634+1596655+24843143</f>
        <v>59016058</v>
      </c>
      <c r="L27" s="4">
        <v>65</v>
      </c>
      <c r="M27" s="4">
        <v>84819336</v>
      </c>
      <c r="N27" s="20">
        <f t="shared" si="2"/>
        <v>1107496470</v>
      </c>
    </row>
    <row r="28" spans="1:14" x14ac:dyDescent="0.2">
      <c r="A28" s="21" t="s">
        <v>44</v>
      </c>
      <c r="B28" s="21"/>
      <c r="C28" s="4">
        <v>19850066</v>
      </c>
      <c r="D28" s="19">
        <v>12.22</v>
      </c>
      <c r="E28" s="19">
        <v>7.0000000000000007E-2</v>
      </c>
      <c r="F28" s="4">
        <v>330803338</v>
      </c>
      <c r="G28" s="4">
        <f t="shared" si="0"/>
        <v>333109366</v>
      </c>
      <c r="H28" s="20">
        <f t="shared" si="3"/>
        <v>2306028</v>
      </c>
      <c r="I28" s="4">
        <v>260289</v>
      </c>
      <c r="J28" s="4">
        <v>306942846</v>
      </c>
      <c r="K28" s="4">
        <f>522448+3469893+18085</f>
        <v>4010426</v>
      </c>
      <c r="L28" s="4">
        <v>0</v>
      </c>
      <c r="M28" s="4">
        <v>22156094</v>
      </c>
      <c r="N28" s="4">
        <f>+F28-C28</f>
        <v>310953272</v>
      </c>
    </row>
    <row r="29" spans="1:14" s="20" customFormat="1" x14ac:dyDescent="0.2">
      <c r="A29" s="21" t="s">
        <v>45</v>
      </c>
      <c r="B29" s="6"/>
      <c r="C29" s="4">
        <v>36132977</v>
      </c>
      <c r="D29" s="19">
        <v>9.27</v>
      </c>
      <c r="E29" s="19">
        <v>0.17</v>
      </c>
      <c r="F29" s="4">
        <v>597412623</v>
      </c>
      <c r="G29" s="20">
        <f>+J29+K29+L29+M29</f>
        <v>599566450</v>
      </c>
      <c r="H29" s="20">
        <f>G29-F29</f>
        <v>2153827</v>
      </c>
      <c r="I29" s="4">
        <v>10063214</v>
      </c>
      <c r="J29" s="4">
        <f>544895971+0</f>
        <v>544895971</v>
      </c>
      <c r="K29" s="4">
        <f>577036+2028591+15480474+0</f>
        <v>18086101</v>
      </c>
      <c r="L29" s="4">
        <v>290290</v>
      </c>
      <c r="M29" s="4">
        <v>36294088</v>
      </c>
      <c r="N29" s="20">
        <f t="shared" si="2"/>
        <v>561279646</v>
      </c>
    </row>
    <row r="30" spans="1:14" s="20" customFormat="1" x14ac:dyDescent="0.2">
      <c r="A30" s="21" t="s">
        <v>46</v>
      </c>
      <c r="B30" s="6"/>
      <c r="C30" s="4">
        <v>69013272</v>
      </c>
      <c r="D30" s="19">
        <v>15.03</v>
      </c>
      <c r="E30" s="19">
        <v>0.49</v>
      </c>
      <c r="F30" s="4">
        <v>1137246588</v>
      </c>
      <c r="G30" s="20">
        <f t="shared" si="0"/>
        <v>1139015073</v>
      </c>
      <c r="H30" s="20">
        <f t="shared" si="3"/>
        <v>1768485</v>
      </c>
      <c r="I30" s="4">
        <v>6822941</v>
      </c>
      <c r="J30" s="4">
        <v>1056694703</v>
      </c>
      <c r="K30" s="4">
        <f>989289+5873805+2422239+2757903</f>
        <v>12043236</v>
      </c>
      <c r="L30" s="4">
        <v>0</v>
      </c>
      <c r="M30" s="4">
        <v>70277134</v>
      </c>
      <c r="N30" s="20">
        <f>+F30-C30</f>
        <v>1068233316</v>
      </c>
    </row>
    <row r="31" spans="1:14" x14ac:dyDescent="0.2">
      <c r="A31" s="21" t="s">
        <v>47</v>
      </c>
      <c r="B31" s="21"/>
      <c r="C31" s="4">
        <v>16250647</v>
      </c>
      <c r="D31" s="19">
        <v>8.44</v>
      </c>
      <c r="E31" s="19">
        <v>0.2</v>
      </c>
      <c r="F31" s="4">
        <v>270112306</v>
      </c>
      <c r="G31" s="4">
        <f>+J31+K31+L31+M31</f>
        <v>271525070</v>
      </c>
      <c r="H31" s="20">
        <f>G31-F31</f>
        <v>1412764</v>
      </c>
      <c r="I31" s="4">
        <v>13726541</v>
      </c>
      <c r="J31" s="4">
        <v>252815022</v>
      </c>
      <c r="K31" s="4">
        <f>656268+172752+262274</f>
        <v>1091294</v>
      </c>
      <c r="L31" s="4">
        <v>1543</v>
      </c>
      <c r="M31" s="4">
        <v>17617211</v>
      </c>
      <c r="N31" s="4">
        <f>+F31-C31</f>
        <v>253861659</v>
      </c>
    </row>
    <row r="32" spans="1:14" s="20" customFormat="1" x14ac:dyDescent="0.2">
      <c r="A32" s="21" t="s">
        <v>89</v>
      </c>
      <c r="B32" s="21"/>
      <c r="C32" s="4">
        <v>13630113</v>
      </c>
      <c r="D32" s="19">
        <v>0.86</v>
      </c>
      <c r="E32" s="19">
        <v>0.27</v>
      </c>
      <c r="F32" s="4">
        <v>43764832</v>
      </c>
      <c r="G32" s="20">
        <f>+J32+K32+L32+M32</f>
        <v>52218126</v>
      </c>
      <c r="H32" s="20">
        <f>G32-F32</f>
        <v>8453294</v>
      </c>
      <c r="I32" s="4">
        <v>22342740</v>
      </c>
      <c r="J32" s="4">
        <v>0</v>
      </c>
      <c r="K32" s="4">
        <f>4884389+23903642+1545671</f>
        <v>30333702</v>
      </c>
      <c r="L32" s="4">
        <v>50433</v>
      </c>
      <c r="M32" s="4">
        <v>21833991</v>
      </c>
      <c r="N32" s="4">
        <f>+F32-C32</f>
        <v>30134719</v>
      </c>
    </row>
    <row r="33" spans="1:14" s="20" customFormat="1" x14ac:dyDescent="0.2">
      <c r="A33" s="21" t="s">
        <v>48</v>
      </c>
      <c r="B33" s="21"/>
      <c r="C33" s="4">
        <v>6789560</v>
      </c>
      <c r="D33" s="19">
        <v>6.65</v>
      </c>
      <c r="E33" s="19">
        <v>0.64</v>
      </c>
      <c r="F33" s="4">
        <v>67044414</v>
      </c>
      <c r="G33" s="4">
        <f t="shared" si="0"/>
        <v>67651535</v>
      </c>
      <c r="H33" s="20">
        <f t="shared" si="3"/>
        <v>607121</v>
      </c>
      <c r="I33" s="4">
        <v>979609</v>
      </c>
      <c r="J33" s="4">
        <v>36937299</v>
      </c>
      <c r="K33" s="4">
        <f>1912824+4269529+10619113+6468421</f>
        <v>23269887</v>
      </c>
      <c r="L33" s="4">
        <v>269292</v>
      </c>
      <c r="M33" s="4">
        <v>7175057</v>
      </c>
      <c r="N33" s="4">
        <f>+F33-C33</f>
        <v>60254854</v>
      </c>
    </row>
    <row r="34" spans="1:14" x14ac:dyDescent="0.2">
      <c r="A34" s="21" t="s">
        <v>50</v>
      </c>
      <c r="B34" s="21"/>
      <c r="C34" s="4">
        <v>56967741</v>
      </c>
      <c r="D34" s="19">
        <v>9.76</v>
      </c>
      <c r="E34" s="19">
        <v>0.14000000000000001</v>
      </c>
      <c r="F34" s="4">
        <v>890948373</v>
      </c>
      <c r="G34" s="20">
        <f>+J34+K34+L34+M34</f>
        <v>903561726</v>
      </c>
      <c r="H34" s="20">
        <f t="shared" si="1"/>
        <v>12613353</v>
      </c>
      <c r="I34" s="4">
        <v>7574289</v>
      </c>
      <c r="J34" s="4">
        <v>810557706</v>
      </c>
      <c r="K34" s="4">
        <f>760423+8781876+6627339+7939773</f>
        <v>24109411</v>
      </c>
      <c r="L34" s="4">
        <v>0</v>
      </c>
      <c r="M34" s="4">
        <v>68894609</v>
      </c>
      <c r="N34" s="4">
        <f t="shared" si="2"/>
        <v>833980632</v>
      </c>
    </row>
    <row r="35" spans="1:14" x14ac:dyDescent="0.2">
      <c r="A35" s="24" t="s">
        <v>51</v>
      </c>
      <c r="B35" s="24"/>
      <c r="C35" s="25">
        <f>SUM(C8:C34)</f>
        <v>785140112</v>
      </c>
      <c r="D35" s="26"/>
      <c r="E35" s="26"/>
      <c r="F35" s="25">
        <f t="shared" ref="F35:M35" si="4">SUM(F8:F34)</f>
        <v>11790106654</v>
      </c>
      <c r="G35" s="25">
        <f t="shared" si="4"/>
        <v>12069727112</v>
      </c>
      <c r="H35" s="25">
        <f t="shared" si="4"/>
        <v>279620458</v>
      </c>
      <c r="I35" s="25">
        <f t="shared" si="4"/>
        <v>206160985</v>
      </c>
      <c r="J35" s="25">
        <f t="shared" si="4"/>
        <v>10159361468</v>
      </c>
      <c r="K35" s="25">
        <f t="shared" si="4"/>
        <v>823640968</v>
      </c>
      <c r="L35" s="25">
        <f t="shared" si="4"/>
        <v>4774877</v>
      </c>
      <c r="M35" s="25">
        <f t="shared" si="4"/>
        <v>1081949799</v>
      </c>
      <c r="N35" s="4">
        <f>SUM(N8:N34)</f>
        <v>11004966542</v>
      </c>
    </row>
    <row r="36" spans="1:14" x14ac:dyDescent="0.2">
      <c r="A36" s="27"/>
      <c r="B36" s="27"/>
      <c r="D36" s="19"/>
      <c r="E36" s="19"/>
      <c r="M36" s="28"/>
    </row>
    <row r="37" spans="1:14" s="20" customFormat="1" x14ac:dyDescent="0.2">
      <c r="A37" s="21" t="s">
        <v>52</v>
      </c>
      <c r="B37" s="21"/>
      <c r="C37" s="4">
        <v>2656526</v>
      </c>
      <c r="D37" s="19">
        <v>2.29</v>
      </c>
      <c r="E37" s="19">
        <v>0.04</v>
      </c>
      <c r="F37" s="4">
        <v>44449202</v>
      </c>
      <c r="G37" s="4">
        <f>+J37+K37+L37+M37</f>
        <v>52100300</v>
      </c>
      <c r="H37" s="20">
        <f>G37-F37</f>
        <v>7651098</v>
      </c>
      <c r="I37" s="4">
        <v>8545711</v>
      </c>
      <c r="J37" s="4">
        <v>41721284</v>
      </c>
      <c r="K37" s="4">
        <f>55495+15897</f>
        <v>71392</v>
      </c>
      <c r="L37" s="4">
        <v>0</v>
      </c>
      <c r="M37" s="4">
        <v>10307624</v>
      </c>
      <c r="N37" s="4">
        <f>+F37-C37</f>
        <v>41792676</v>
      </c>
    </row>
    <row r="38" spans="1:14" x14ac:dyDescent="0.2">
      <c r="A38" s="29" t="s">
        <v>53</v>
      </c>
      <c r="B38" s="29"/>
      <c r="C38" s="25">
        <f t="shared" ref="C38:N38" si="5">SUM(C37:C37)</f>
        <v>2656526</v>
      </c>
      <c r="D38" s="26"/>
      <c r="E38" s="26"/>
      <c r="F38" s="25">
        <f t="shared" si="5"/>
        <v>44449202</v>
      </c>
      <c r="G38" s="25">
        <f t="shared" si="5"/>
        <v>52100300</v>
      </c>
      <c r="H38" s="25">
        <f t="shared" si="5"/>
        <v>7651098</v>
      </c>
      <c r="I38" s="25">
        <f t="shared" si="5"/>
        <v>8545711</v>
      </c>
      <c r="J38" s="25">
        <f t="shared" si="5"/>
        <v>41721284</v>
      </c>
      <c r="K38" s="25">
        <f t="shared" si="5"/>
        <v>71392</v>
      </c>
      <c r="L38" s="25">
        <f t="shared" si="5"/>
        <v>0</v>
      </c>
      <c r="M38" s="25">
        <f t="shared" si="5"/>
        <v>10307624</v>
      </c>
      <c r="N38" s="4">
        <f t="shared" si="5"/>
        <v>41792676</v>
      </c>
    </row>
    <row r="39" spans="1:14" x14ac:dyDescent="0.2">
      <c r="D39" s="19"/>
      <c r="E39" s="19"/>
      <c r="I39" s="20"/>
      <c r="J39" s="20"/>
      <c r="K39" s="20"/>
      <c r="M39" s="28"/>
    </row>
    <row r="40" spans="1:14" x14ac:dyDescent="0.2">
      <c r="A40" s="30" t="s">
        <v>13</v>
      </c>
      <c r="B40" s="30"/>
      <c r="C40" s="7">
        <f>C35+C38</f>
        <v>787796638</v>
      </c>
      <c r="D40" s="31"/>
      <c r="E40" s="31"/>
      <c r="F40" s="7">
        <f t="shared" ref="F40:M40" si="6">F35+F38</f>
        <v>11834555856</v>
      </c>
      <c r="G40" s="7">
        <f t="shared" si="6"/>
        <v>12121827412</v>
      </c>
      <c r="H40" s="7">
        <f t="shared" si="6"/>
        <v>287271556</v>
      </c>
      <c r="I40" s="7">
        <f t="shared" si="6"/>
        <v>214706696</v>
      </c>
      <c r="J40" s="32">
        <f t="shared" si="6"/>
        <v>10201082752</v>
      </c>
      <c r="K40" s="32">
        <f t="shared" si="6"/>
        <v>823712360</v>
      </c>
      <c r="L40" s="7">
        <f t="shared" si="6"/>
        <v>4774877</v>
      </c>
      <c r="M40" s="7">
        <f t="shared" si="6"/>
        <v>1092257423</v>
      </c>
      <c r="N40" s="4">
        <f>+N35+N38</f>
        <v>11046759218</v>
      </c>
    </row>
    <row r="41" spans="1:14" ht="9.75" customHeight="1" x14ac:dyDescent="0.2">
      <c r="A41" s="33"/>
    </row>
    <row r="42" spans="1:14" ht="22.5" customHeight="1" x14ac:dyDescent="0.2">
      <c r="A42" s="33" t="s">
        <v>54</v>
      </c>
      <c r="B42" s="75" t="s">
        <v>90</v>
      </c>
      <c r="C42" s="75"/>
      <c r="D42" s="75"/>
      <c r="E42" s="75"/>
      <c r="F42" s="75"/>
      <c r="G42" s="75"/>
      <c r="H42" s="75"/>
      <c r="I42" s="75"/>
      <c r="J42" s="75"/>
      <c r="K42" s="75"/>
      <c r="L42" s="75"/>
      <c r="M42" s="77"/>
    </row>
    <row r="43" spans="1:14" ht="15" customHeight="1" x14ac:dyDescent="0.2">
      <c r="A43" s="33" t="s">
        <v>91</v>
      </c>
      <c r="B43" s="75" t="s">
        <v>92</v>
      </c>
      <c r="C43" s="75"/>
      <c r="D43" s="75"/>
      <c r="E43" s="75"/>
      <c r="F43" s="75"/>
      <c r="G43" s="75"/>
      <c r="H43" s="75"/>
      <c r="I43" s="75"/>
      <c r="J43" s="75"/>
      <c r="K43" s="75"/>
      <c r="L43" s="75"/>
      <c r="M43" s="77"/>
    </row>
    <row r="44" spans="1:14" ht="12.75" customHeight="1" x14ac:dyDescent="0.2">
      <c r="A44" s="35"/>
    </row>
    <row r="45" spans="1:14" x14ac:dyDescent="0.2">
      <c r="A45" s="1" t="s">
        <v>0</v>
      </c>
      <c r="B45" s="36"/>
      <c r="C45" s="36"/>
      <c r="D45" s="36"/>
      <c r="E45" s="36"/>
      <c r="F45" s="36"/>
      <c r="G45" s="36"/>
      <c r="H45" s="36"/>
      <c r="I45" s="36"/>
      <c r="J45" s="36"/>
      <c r="K45" s="36"/>
      <c r="L45" s="36"/>
    </row>
    <row r="46" spans="1:14" x14ac:dyDescent="0.2">
      <c r="A46" s="37" t="s">
        <v>57</v>
      </c>
      <c r="B46" s="36"/>
      <c r="C46" s="36"/>
      <c r="D46" s="36"/>
      <c r="E46" s="36"/>
      <c r="F46" s="36"/>
      <c r="G46" s="36"/>
      <c r="H46" s="36"/>
      <c r="I46" s="36"/>
      <c r="J46" s="36"/>
      <c r="K46" s="36"/>
      <c r="L46" s="36"/>
    </row>
    <row r="47" spans="1:14" x14ac:dyDescent="0.2">
      <c r="A47" s="38" t="s">
        <v>85</v>
      </c>
      <c r="B47" s="36"/>
      <c r="C47" s="36"/>
      <c r="D47" s="36"/>
      <c r="E47" s="36"/>
      <c r="F47" s="36"/>
      <c r="G47" s="36"/>
      <c r="H47" s="36"/>
      <c r="I47" s="36"/>
      <c r="J47" s="36"/>
      <c r="K47" s="36"/>
      <c r="L47" s="36"/>
    </row>
    <row r="48" spans="1:14" x14ac:dyDescent="0.2">
      <c r="A48" s="36"/>
      <c r="B48" s="36"/>
      <c r="C48" s="36"/>
      <c r="D48" s="36"/>
      <c r="E48" s="36"/>
      <c r="F48" s="36"/>
      <c r="G48" s="36"/>
      <c r="H48" s="36"/>
      <c r="I48" s="36"/>
      <c r="J48" s="36"/>
      <c r="K48" s="36"/>
      <c r="L48" s="36"/>
    </row>
    <row r="49" spans="1:12" x14ac:dyDescent="0.2">
      <c r="A49" s="36" t="s">
        <v>58</v>
      </c>
      <c r="B49" s="36"/>
      <c r="C49" s="36"/>
      <c r="D49" s="36"/>
      <c r="E49" s="36"/>
      <c r="F49" s="36"/>
      <c r="G49" s="36"/>
      <c r="H49" s="36"/>
      <c r="I49" s="36"/>
      <c r="J49" s="36"/>
      <c r="K49" s="36"/>
      <c r="L49" s="36"/>
    </row>
    <row r="50" spans="1:12" x14ac:dyDescent="0.2">
      <c r="A50" s="8" t="s">
        <v>3</v>
      </c>
      <c r="B50" s="39"/>
      <c r="C50" s="39"/>
      <c r="D50" s="24" t="s">
        <v>59</v>
      </c>
      <c r="E50" s="40"/>
      <c r="F50" s="41" t="s">
        <v>60</v>
      </c>
      <c r="G50" s="41" t="s">
        <v>10</v>
      </c>
      <c r="H50" s="42" t="s">
        <v>61</v>
      </c>
      <c r="I50" s="41" t="s">
        <v>60</v>
      </c>
      <c r="J50" s="41" t="s">
        <v>10</v>
      </c>
      <c r="K50" s="42" t="s">
        <v>61</v>
      </c>
      <c r="L50" s="36"/>
    </row>
    <row r="51" spans="1:12" x14ac:dyDescent="0.2">
      <c r="A51" s="43"/>
      <c r="B51" s="43"/>
      <c r="C51" s="43"/>
      <c r="D51" s="12" t="s">
        <v>13</v>
      </c>
      <c r="E51" s="12" t="s">
        <v>14</v>
      </c>
      <c r="F51" s="44" t="s">
        <v>62</v>
      </c>
      <c r="G51" s="44" t="s">
        <v>63</v>
      </c>
      <c r="H51" s="44" t="s">
        <v>64</v>
      </c>
      <c r="I51" s="44" t="s">
        <v>65</v>
      </c>
      <c r="J51" s="44" t="s">
        <v>63</v>
      </c>
      <c r="K51" s="44" t="s">
        <v>64</v>
      </c>
      <c r="L51" s="64"/>
    </row>
    <row r="52" spans="1:12" x14ac:dyDescent="0.2">
      <c r="A52" s="45"/>
      <c r="B52" s="45"/>
      <c r="C52" s="45"/>
      <c r="D52" s="45"/>
      <c r="E52" s="45"/>
      <c r="F52" s="46" t="s">
        <v>66</v>
      </c>
      <c r="G52" s="46" t="s">
        <v>67</v>
      </c>
      <c r="H52" s="46" t="s">
        <v>67</v>
      </c>
      <c r="I52" s="46" t="s">
        <v>4</v>
      </c>
      <c r="J52" s="47" t="s">
        <v>68</v>
      </c>
      <c r="K52" s="47" t="s">
        <v>68</v>
      </c>
      <c r="L52" s="36"/>
    </row>
    <row r="53" spans="1:12" x14ac:dyDescent="0.2">
      <c r="A53" s="43"/>
      <c r="B53" s="43"/>
      <c r="C53" s="43"/>
      <c r="D53" s="48"/>
      <c r="E53" s="48"/>
      <c r="F53" s="49"/>
      <c r="G53" s="49"/>
      <c r="H53" s="49"/>
      <c r="I53" s="49"/>
      <c r="J53" s="18"/>
      <c r="K53" s="18"/>
      <c r="L53" s="36"/>
    </row>
    <row r="54" spans="1:12" x14ac:dyDescent="0.2">
      <c r="A54" s="50" t="s">
        <v>69</v>
      </c>
      <c r="B54" s="43"/>
      <c r="C54" s="43"/>
      <c r="D54" s="51">
        <v>1.08</v>
      </c>
      <c r="E54" s="52">
        <v>3.0000000000000001E-3</v>
      </c>
      <c r="F54" s="53">
        <f>58676770+1301960</f>
        <v>59978730</v>
      </c>
      <c r="G54" s="53">
        <v>59978730</v>
      </c>
      <c r="H54" s="53">
        <f>G54-F54</f>
        <v>0</v>
      </c>
      <c r="I54" s="53">
        <v>55850519</v>
      </c>
      <c r="J54" s="53">
        <v>55946201</v>
      </c>
      <c r="K54" s="53">
        <f>J54-I54</f>
        <v>95682</v>
      </c>
      <c r="L54" s="36"/>
    </row>
    <row r="55" spans="1:12" x14ac:dyDescent="0.2">
      <c r="A55" s="54" t="s">
        <v>70</v>
      </c>
      <c r="B55" s="43"/>
      <c r="C55" s="43"/>
      <c r="D55" s="51">
        <v>0.47</v>
      </c>
      <c r="E55" s="52">
        <v>1.7000000000000001E-2</v>
      </c>
      <c r="F55" s="53">
        <v>17247979</v>
      </c>
      <c r="G55" s="53">
        <f>474629+10359979+6413371</f>
        <v>17247979</v>
      </c>
      <c r="H55" s="53">
        <f>G55-F55</f>
        <v>0</v>
      </c>
      <c r="I55" s="53">
        <v>38277831</v>
      </c>
      <c r="J55" s="53">
        <v>38691094</v>
      </c>
      <c r="K55" s="53">
        <f>J55-I55</f>
        <v>413263</v>
      </c>
      <c r="L55" s="36"/>
    </row>
    <row r="56" spans="1:12" x14ac:dyDescent="0.2">
      <c r="A56" s="43"/>
      <c r="B56" s="43"/>
      <c r="C56" s="43"/>
      <c r="D56" s="48"/>
      <c r="E56" s="48"/>
      <c r="F56" s="53"/>
      <c r="G56" s="53"/>
      <c r="H56" s="53"/>
      <c r="I56" s="53"/>
      <c r="J56" s="53"/>
      <c r="K56" s="53"/>
      <c r="L56" s="36"/>
    </row>
    <row r="57" spans="1:12" x14ac:dyDescent="0.2">
      <c r="A57" s="36"/>
      <c r="B57" s="36"/>
      <c r="C57" s="36"/>
      <c r="D57" s="55"/>
      <c r="E57" s="55"/>
      <c r="F57" s="56"/>
      <c r="G57" s="56"/>
      <c r="H57" s="56"/>
      <c r="I57" s="56"/>
      <c r="J57" s="56"/>
      <c r="K57" s="56"/>
      <c r="L57" s="36"/>
    </row>
    <row r="58" spans="1:12" x14ac:dyDescent="0.2">
      <c r="A58" s="57" t="s">
        <v>71</v>
      </c>
      <c r="B58" s="36"/>
      <c r="C58" s="36"/>
      <c r="D58" s="55"/>
      <c r="E58" s="55"/>
      <c r="F58" s="56"/>
      <c r="G58" s="56"/>
      <c r="H58" s="56"/>
      <c r="I58" s="56"/>
      <c r="J58" s="56"/>
      <c r="K58" s="56"/>
      <c r="L58" s="36"/>
    </row>
    <row r="59" spans="1:12" x14ac:dyDescent="0.2">
      <c r="A59" s="8" t="s">
        <v>3</v>
      </c>
      <c r="B59" s="39"/>
      <c r="C59" s="39"/>
      <c r="D59" s="24" t="s">
        <v>59</v>
      </c>
      <c r="E59" s="58"/>
      <c r="F59" s="59" t="s">
        <v>72</v>
      </c>
      <c r="G59" s="59" t="s">
        <v>72</v>
      </c>
      <c r="H59" s="60" t="s">
        <v>73</v>
      </c>
      <c r="I59" s="60" t="s">
        <v>74</v>
      </c>
      <c r="J59" s="53"/>
      <c r="K59" s="53"/>
      <c r="L59" s="36"/>
    </row>
    <row r="60" spans="1:12" x14ac:dyDescent="0.2">
      <c r="A60" s="43"/>
      <c r="B60" s="43"/>
      <c r="C60" s="43"/>
      <c r="D60" s="12" t="s">
        <v>13</v>
      </c>
      <c r="E60" s="12" t="s">
        <v>14</v>
      </c>
      <c r="F60" s="18" t="s">
        <v>75</v>
      </c>
      <c r="G60" s="18" t="s">
        <v>75</v>
      </c>
      <c r="H60" s="49" t="s">
        <v>76</v>
      </c>
      <c r="I60" s="49" t="s">
        <v>64</v>
      </c>
      <c r="J60" s="53"/>
      <c r="K60" s="53"/>
      <c r="L60" s="36"/>
    </row>
    <row r="61" spans="1:12" x14ac:dyDescent="0.2">
      <c r="A61" s="43"/>
      <c r="B61" s="43"/>
      <c r="C61" s="43"/>
      <c r="D61" s="48"/>
      <c r="E61" s="48"/>
      <c r="F61" s="18" t="s">
        <v>77</v>
      </c>
      <c r="G61" s="49" t="s">
        <v>78</v>
      </c>
      <c r="H61" s="18" t="s">
        <v>79</v>
      </c>
      <c r="I61" s="49" t="s">
        <v>80</v>
      </c>
      <c r="J61" s="53"/>
      <c r="K61" s="53"/>
      <c r="L61" s="43"/>
    </row>
    <row r="62" spans="1:12" x14ac:dyDescent="0.2">
      <c r="A62" s="45"/>
      <c r="B62" s="45"/>
      <c r="C62" s="45"/>
      <c r="D62" s="61"/>
      <c r="E62" s="61"/>
      <c r="F62" s="62" t="s">
        <v>81</v>
      </c>
      <c r="G62" s="62" t="s">
        <v>82</v>
      </c>
      <c r="H62" s="62" t="s">
        <v>83</v>
      </c>
      <c r="I62" s="62" t="s">
        <v>83</v>
      </c>
      <c r="J62" s="53"/>
      <c r="K62" s="53"/>
      <c r="L62" s="43"/>
    </row>
    <row r="63" spans="1:12" x14ac:dyDescent="0.2">
      <c r="A63" s="43"/>
      <c r="B63" s="43"/>
      <c r="C63" s="36"/>
      <c r="D63" s="55"/>
      <c r="E63" s="55"/>
      <c r="F63" s="56"/>
      <c r="G63" s="56"/>
      <c r="H63" s="56"/>
      <c r="I63" s="56"/>
      <c r="J63" s="56"/>
      <c r="K63" s="56"/>
      <c r="L63" s="43"/>
    </row>
    <row r="64" spans="1:12" x14ac:dyDescent="0.2">
      <c r="A64" s="63" t="s">
        <v>84</v>
      </c>
      <c r="B64" s="43"/>
      <c r="C64" s="43"/>
      <c r="D64" s="51">
        <v>1.54</v>
      </c>
      <c r="E64" s="51">
        <v>0.01</v>
      </c>
      <c r="F64" s="53">
        <v>53310282</v>
      </c>
      <c r="G64" s="53">
        <v>39366378</v>
      </c>
      <c r="H64" s="53">
        <v>92994010</v>
      </c>
      <c r="I64" s="53">
        <f>+H64-G64-F64</f>
        <v>317350</v>
      </c>
      <c r="J64" s="53"/>
      <c r="K64" s="53"/>
      <c r="L64" s="43"/>
    </row>
    <row r="65" spans="1:12" x14ac:dyDescent="0.2">
      <c r="A65" s="36"/>
      <c r="B65" s="36"/>
      <c r="C65" s="36"/>
      <c r="D65" s="55"/>
      <c r="E65" s="55"/>
      <c r="F65" s="56"/>
      <c r="G65" s="56"/>
      <c r="H65" s="56"/>
      <c r="I65" s="56"/>
      <c r="J65" s="56"/>
      <c r="K65" s="56"/>
      <c r="L65" s="36"/>
    </row>
    <row r="66" spans="1:12" x14ac:dyDescent="0.2">
      <c r="A66" s="36"/>
      <c r="B66" s="36"/>
      <c r="C66" s="36"/>
      <c r="D66" s="55"/>
      <c r="E66" s="55"/>
      <c r="F66" s="56"/>
      <c r="G66" s="56"/>
      <c r="H66" s="56"/>
      <c r="I66" s="56"/>
      <c r="J66" s="56"/>
      <c r="K66" s="56"/>
      <c r="L66" s="43"/>
    </row>
    <row r="67" spans="1:12" x14ac:dyDescent="0.2">
      <c r="A67" s="36"/>
      <c r="B67" s="36"/>
      <c r="C67" s="36"/>
      <c r="D67" s="36"/>
      <c r="E67" s="36"/>
      <c r="F67" s="36"/>
      <c r="G67" s="36"/>
      <c r="H67" s="36"/>
      <c r="I67" s="36"/>
      <c r="J67" s="36"/>
      <c r="K67" s="36"/>
      <c r="L67" s="36"/>
    </row>
  </sheetData>
  <mergeCells count="6">
    <mergeCell ref="B43:M43"/>
    <mergeCell ref="D4:E4"/>
    <mergeCell ref="A8:B8"/>
    <mergeCell ref="A9:B9"/>
    <mergeCell ref="A13:B13"/>
    <mergeCell ref="B42:M4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workbookViewId="0"/>
  </sheetViews>
  <sheetFormatPr baseColWidth="10" defaultRowHeight="12.75" x14ac:dyDescent="0.2"/>
  <cols>
    <col min="1" max="1" width="2.5703125" style="4" customWidth="1"/>
    <col min="2" max="2" width="22.42578125" style="4" customWidth="1"/>
    <col min="3" max="3" width="12.140625" style="4" bestFit="1" customWidth="1"/>
    <col min="4" max="4" width="8.140625" style="4" customWidth="1"/>
    <col min="5" max="5" width="8.5703125" style="4" customWidth="1"/>
    <col min="6" max="6" width="17" style="4" bestFit="1" customWidth="1"/>
    <col min="7" max="7" width="16.7109375" style="4" bestFit="1" customWidth="1"/>
    <col min="8" max="8" width="18" style="4" bestFit="1" customWidth="1"/>
    <col min="9" max="9" width="17.7109375" style="4" bestFit="1" customWidth="1"/>
    <col min="10" max="10" width="15.7109375" style="4" customWidth="1"/>
    <col min="11" max="11" width="16.28515625" style="4" customWidth="1"/>
    <col min="12" max="12" width="15.140625" style="4" customWidth="1"/>
    <col min="13" max="13" width="14.28515625" style="4" customWidth="1"/>
    <col min="14" max="14" width="14.5703125" style="4" bestFit="1" customWidth="1"/>
    <col min="15" max="256" width="11.42578125" style="4"/>
    <col min="257" max="257" width="2.5703125" style="4" customWidth="1"/>
    <col min="258" max="258" width="22.42578125" style="4" customWidth="1"/>
    <col min="259" max="259" width="12.140625" style="4" bestFit="1" customWidth="1"/>
    <col min="260" max="260" width="8.140625" style="4" customWidth="1"/>
    <col min="261" max="261" width="8.5703125" style="4" customWidth="1"/>
    <col min="262" max="262" width="17" style="4" bestFit="1" customWidth="1"/>
    <col min="263" max="263" width="16.7109375" style="4" bestFit="1" customWidth="1"/>
    <col min="264" max="264" width="18" style="4" bestFit="1" customWidth="1"/>
    <col min="265" max="265" width="17.7109375" style="4" bestFit="1" customWidth="1"/>
    <col min="266" max="266" width="15.7109375" style="4" customWidth="1"/>
    <col min="267" max="267" width="16.28515625" style="4" customWidth="1"/>
    <col min="268" max="268" width="15.140625" style="4" customWidth="1"/>
    <col min="269" max="269" width="14.28515625" style="4" customWidth="1"/>
    <col min="270" max="270" width="14.5703125" style="4" bestFit="1" customWidth="1"/>
    <col min="271" max="512" width="11.42578125" style="4"/>
    <col min="513" max="513" width="2.5703125" style="4" customWidth="1"/>
    <col min="514" max="514" width="22.42578125" style="4" customWidth="1"/>
    <col min="515" max="515" width="12.140625" style="4" bestFit="1" customWidth="1"/>
    <col min="516" max="516" width="8.140625" style="4" customWidth="1"/>
    <col min="517" max="517" width="8.5703125" style="4" customWidth="1"/>
    <col min="518" max="518" width="17" style="4" bestFit="1" customWidth="1"/>
    <col min="519" max="519" width="16.7109375" style="4" bestFit="1" customWidth="1"/>
    <col min="520" max="520" width="18" style="4" bestFit="1" customWidth="1"/>
    <col min="521" max="521" width="17.7109375" style="4" bestFit="1" customWidth="1"/>
    <col min="522" max="522" width="15.7109375" style="4" customWidth="1"/>
    <col min="523" max="523" width="16.28515625" style="4" customWidth="1"/>
    <col min="524" max="524" width="15.140625" style="4" customWidth="1"/>
    <col min="525" max="525" width="14.28515625" style="4" customWidth="1"/>
    <col min="526" max="526" width="14.5703125" style="4" bestFit="1" customWidth="1"/>
    <col min="527" max="768" width="11.42578125" style="4"/>
    <col min="769" max="769" width="2.5703125" style="4" customWidth="1"/>
    <col min="770" max="770" width="22.42578125" style="4" customWidth="1"/>
    <col min="771" max="771" width="12.140625" style="4" bestFit="1" customWidth="1"/>
    <col min="772" max="772" width="8.140625" style="4" customWidth="1"/>
    <col min="773" max="773" width="8.5703125" style="4" customWidth="1"/>
    <col min="774" max="774" width="17" style="4" bestFit="1" customWidth="1"/>
    <col min="775" max="775" width="16.7109375" style="4" bestFit="1" customWidth="1"/>
    <col min="776" max="776" width="18" style="4" bestFit="1" customWidth="1"/>
    <col min="777" max="777" width="17.7109375" style="4" bestFit="1" customWidth="1"/>
    <col min="778" max="778" width="15.7109375" style="4" customWidth="1"/>
    <col min="779" max="779" width="16.28515625" style="4" customWidth="1"/>
    <col min="780" max="780" width="15.140625" style="4" customWidth="1"/>
    <col min="781" max="781" width="14.28515625" style="4" customWidth="1"/>
    <col min="782" max="782" width="14.5703125" style="4" bestFit="1" customWidth="1"/>
    <col min="783" max="1024" width="11.42578125" style="4"/>
    <col min="1025" max="1025" width="2.5703125" style="4" customWidth="1"/>
    <col min="1026" max="1026" width="22.42578125" style="4" customWidth="1"/>
    <col min="1027" max="1027" width="12.140625" style="4" bestFit="1" customWidth="1"/>
    <col min="1028" max="1028" width="8.140625" style="4" customWidth="1"/>
    <col min="1029" max="1029" width="8.5703125" style="4" customWidth="1"/>
    <col min="1030" max="1030" width="17" style="4" bestFit="1" customWidth="1"/>
    <col min="1031" max="1031" width="16.7109375" style="4" bestFit="1" customWidth="1"/>
    <col min="1032" max="1032" width="18" style="4" bestFit="1" customWidth="1"/>
    <col min="1033" max="1033" width="17.7109375" style="4" bestFit="1" customWidth="1"/>
    <col min="1034" max="1034" width="15.7109375" style="4" customWidth="1"/>
    <col min="1035" max="1035" width="16.28515625" style="4" customWidth="1"/>
    <col min="1036" max="1036" width="15.140625" style="4" customWidth="1"/>
    <col min="1037" max="1037" width="14.28515625" style="4" customWidth="1"/>
    <col min="1038" max="1038" width="14.5703125" style="4" bestFit="1" customWidth="1"/>
    <col min="1039" max="1280" width="11.42578125" style="4"/>
    <col min="1281" max="1281" width="2.5703125" style="4" customWidth="1"/>
    <col min="1282" max="1282" width="22.42578125" style="4" customWidth="1"/>
    <col min="1283" max="1283" width="12.140625" style="4" bestFit="1" customWidth="1"/>
    <col min="1284" max="1284" width="8.140625" style="4" customWidth="1"/>
    <col min="1285" max="1285" width="8.5703125" style="4" customWidth="1"/>
    <col min="1286" max="1286" width="17" style="4" bestFit="1" customWidth="1"/>
    <col min="1287" max="1287" width="16.7109375" style="4" bestFit="1" customWidth="1"/>
    <col min="1288" max="1288" width="18" style="4" bestFit="1" customWidth="1"/>
    <col min="1289" max="1289" width="17.7109375" style="4" bestFit="1" customWidth="1"/>
    <col min="1290" max="1290" width="15.7109375" style="4" customWidth="1"/>
    <col min="1291" max="1291" width="16.28515625" style="4" customWidth="1"/>
    <col min="1292" max="1292" width="15.140625" style="4" customWidth="1"/>
    <col min="1293" max="1293" width="14.28515625" style="4" customWidth="1"/>
    <col min="1294" max="1294" width="14.5703125" style="4" bestFit="1" customWidth="1"/>
    <col min="1295" max="1536" width="11.42578125" style="4"/>
    <col min="1537" max="1537" width="2.5703125" style="4" customWidth="1"/>
    <col min="1538" max="1538" width="22.42578125" style="4" customWidth="1"/>
    <col min="1539" max="1539" width="12.140625" style="4" bestFit="1" customWidth="1"/>
    <col min="1540" max="1540" width="8.140625" style="4" customWidth="1"/>
    <col min="1541" max="1541" width="8.5703125" style="4" customWidth="1"/>
    <col min="1542" max="1542" width="17" style="4" bestFit="1" customWidth="1"/>
    <col min="1543" max="1543" width="16.7109375" style="4" bestFit="1" customWidth="1"/>
    <col min="1544" max="1544" width="18" style="4" bestFit="1" customWidth="1"/>
    <col min="1545" max="1545" width="17.7109375" style="4" bestFit="1" customWidth="1"/>
    <col min="1546" max="1546" width="15.7109375" style="4" customWidth="1"/>
    <col min="1547" max="1547" width="16.28515625" style="4" customWidth="1"/>
    <col min="1548" max="1548" width="15.140625" style="4" customWidth="1"/>
    <col min="1549" max="1549" width="14.28515625" style="4" customWidth="1"/>
    <col min="1550" max="1550" width="14.5703125" style="4" bestFit="1" customWidth="1"/>
    <col min="1551" max="1792" width="11.42578125" style="4"/>
    <col min="1793" max="1793" width="2.5703125" style="4" customWidth="1"/>
    <col min="1794" max="1794" width="22.42578125" style="4" customWidth="1"/>
    <col min="1795" max="1795" width="12.140625" style="4" bestFit="1" customWidth="1"/>
    <col min="1796" max="1796" width="8.140625" style="4" customWidth="1"/>
    <col min="1797" max="1797" width="8.5703125" style="4" customWidth="1"/>
    <col min="1798" max="1798" width="17" style="4" bestFit="1" customWidth="1"/>
    <col min="1799" max="1799" width="16.7109375" style="4" bestFit="1" customWidth="1"/>
    <col min="1800" max="1800" width="18" style="4" bestFit="1" customWidth="1"/>
    <col min="1801" max="1801" width="17.7109375" style="4" bestFit="1" customWidth="1"/>
    <col min="1802" max="1802" width="15.7109375" style="4" customWidth="1"/>
    <col min="1803" max="1803" width="16.28515625" style="4" customWidth="1"/>
    <col min="1804" max="1804" width="15.140625" style="4" customWidth="1"/>
    <col min="1805" max="1805" width="14.28515625" style="4" customWidth="1"/>
    <col min="1806" max="1806" width="14.5703125" style="4" bestFit="1" customWidth="1"/>
    <col min="1807" max="2048" width="11.42578125" style="4"/>
    <col min="2049" max="2049" width="2.5703125" style="4" customWidth="1"/>
    <col min="2050" max="2050" width="22.42578125" style="4" customWidth="1"/>
    <col min="2051" max="2051" width="12.140625" style="4" bestFit="1" customWidth="1"/>
    <col min="2052" max="2052" width="8.140625" style="4" customWidth="1"/>
    <col min="2053" max="2053" width="8.5703125" style="4" customWidth="1"/>
    <col min="2054" max="2054" width="17" style="4" bestFit="1" customWidth="1"/>
    <col min="2055" max="2055" width="16.7109375" style="4" bestFit="1" customWidth="1"/>
    <col min="2056" max="2056" width="18" style="4" bestFit="1" customWidth="1"/>
    <col min="2057" max="2057" width="17.7109375" style="4" bestFit="1" customWidth="1"/>
    <col min="2058" max="2058" width="15.7109375" style="4" customWidth="1"/>
    <col min="2059" max="2059" width="16.28515625" style="4" customWidth="1"/>
    <col min="2060" max="2060" width="15.140625" style="4" customWidth="1"/>
    <col min="2061" max="2061" width="14.28515625" style="4" customWidth="1"/>
    <col min="2062" max="2062" width="14.5703125" style="4" bestFit="1" customWidth="1"/>
    <col min="2063" max="2304" width="11.42578125" style="4"/>
    <col min="2305" max="2305" width="2.5703125" style="4" customWidth="1"/>
    <col min="2306" max="2306" width="22.42578125" style="4" customWidth="1"/>
    <col min="2307" max="2307" width="12.140625" style="4" bestFit="1" customWidth="1"/>
    <col min="2308" max="2308" width="8.140625" style="4" customWidth="1"/>
    <col min="2309" max="2309" width="8.5703125" style="4" customWidth="1"/>
    <col min="2310" max="2310" width="17" style="4" bestFit="1" customWidth="1"/>
    <col min="2311" max="2311" width="16.7109375" style="4" bestFit="1" customWidth="1"/>
    <col min="2312" max="2312" width="18" style="4" bestFit="1" customWidth="1"/>
    <col min="2313" max="2313" width="17.7109375" style="4" bestFit="1" customWidth="1"/>
    <col min="2314" max="2314" width="15.7109375" style="4" customWidth="1"/>
    <col min="2315" max="2315" width="16.28515625" style="4" customWidth="1"/>
    <col min="2316" max="2316" width="15.140625" style="4" customWidth="1"/>
    <col min="2317" max="2317" width="14.28515625" style="4" customWidth="1"/>
    <col min="2318" max="2318" width="14.5703125" style="4" bestFit="1" customWidth="1"/>
    <col min="2319" max="2560" width="11.42578125" style="4"/>
    <col min="2561" max="2561" width="2.5703125" style="4" customWidth="1"/>
    <col min="2562" max="2562" width="22.42578125" style="4" customWidth="1"/>
    <col min="2563" max="2563" width="12.140625" style="4" bestFit="1" customWidth="1"/>
    <col min="2564" max="2564" width="8.140625" style="4" customWidth="1"/>
    <col min="2565" max="2565" width="8.5703125" style="4" customWidth="1"/>
    <col min="2566" max="2566" width="17" style="4" bestFit="1" customWidth="1"/>
    <col min="2567" max="2567" width="16.7109375" style="4" bestFit="1" customWidth="1"/>
    <col min="2568" max="2568" width="18" style="4" bestFit="1" customWidth="1"/>
    <col min="2569" max="2569" width="17.7109375" style="4" bestFit="1" customWidth="1"/>
    <col min="2570" max="2570" width="15.7109375" style="4" customWidth="1"/>
    <col min="2571" max="2571" width="16.28515625" style="4" customWidth="1"/>
    <col min="2572" max="2572" width="15.140625" style="4" customWidth="1"/>
    <col min="2573" max="2573" width="14.28515625" style="4" customWidth="1"/>
    <col min="2574" max="2574" width="14.5703125" style="4" bestFit="1" customWidth="1"/>
    <col min="2575" max="2816" width="11.42578125" style="4"/>
    <col min="2817" max="2817" width="2.5703125" style="4" customWidth="1"/>
    <col min="2818" max="2818" width="22.42578125" style="4" customWidth="1"/>
    <col min="2819" max="2819" width="12.140625" style="4" bestFit="1" customWidth="1"/>
    <col min="2820" max="2820" width="8.140625" style="4" customWidth="1"/>
    <col min="2821" max="2821" width="8.5703125" style="4" customWidth="1"/>
    <col min="2822" max="2822" width="17" style="4" bestFit="1" customWidth="1"/>
    <col min="2823" max="2823" width="16.7109375" style="4" bestFit="1" customWidth="1"/>
    <col min="2824" max="2824" width="18" style="4" bestFit="1" customWidth="1"/>
    <col min="2825" max="2825" width="17.7109375" style="4" bestFit="1" customWidth="1"/>
    <col min="2826" max="2826" width="15.7109375" style="4" customWidth="1"/>
    <col min="2827" max="2827" width="16.28515625" style="4" customWidth="1"/>
    <col min="2828" max="2828" width="15.140625" style="4" customWidth="1"/>
    <col min="2829" max="2829" width="14.28515625" style="4" customWidth="1"/>
    <col min="2830" max="2830" width="14.5703125" style="4" bestFit="1" customWidth="1"/>
    <col min="2831" max="3072" width="11.42578125" style="4"/>
    <col min="3073" max="3073" width="2.5703125" style="4" customWidth="1"/>
    <col min="3074" max="3074" width="22.42578125" style="4" customWidth="1"/>
    <col min="3075" max="3075" width="12.140625" style="4" bestFit="1" customWidth="1"/>
    <col min="3076" max="3076" width="8.140625" style="4" customWidth="1"/>
    <col min="3077" max="3077" width="8.5703125" style="4" customWidth="1"/>
    <col min="3078" max="3078" width="17" style="4" bestFit="1" customWidth="1"/>
    <col min="3079" max="3079" width="16.7109375" style="4" bestFit="1" customWidth="1"/>
    <col min="3080" max="3080" width="18" style="4" bestFit="1" customWidth="1"/>
    <col min="3081" max="3081" width="17.7109375" style="4" bestFit="1" customWidth="1"/>
    <col min="3082" max="3082" width="15.7109375" style="4" customWidth="1"/>
    <col min="3083" max="3083" width="16.28515625" style="4" customWidth="1"/>
    <col min="3084" max="3084" width="15.140625" style="4" customWidth="1"/>
    <col min="3085" max="3085" width="14.28515625" style="4" customWidth="1"/>
    <col min="3086" max="3086" width="14.5703125" style="4" bestFit="1" customWidth="1"/>
    <col min="3087" max="3328" width="11.42578125" style="4"/>
    <col min="3329" max="3329" width="2.5703125" style="4" customWidth="1"/>
    <col min="3330" max="3330" width="22.42578125" style="4" customWidth="1"/>
    <col min="3331" max="3331" width="12.140625" style="4" bestFit="1" customWidth="1"/>
    <col min="3332" max="3332" width="8.140625" style="4" customWidth="1"/>
    <col min="3333" max="3333" width="8.5703125" style="4" customWidth="1"/>
    <col min="3334" max="3334" width="17" style="4" bestFit="1" customWidth="1"/>
    <col min="3335" max="3335" width="16.7109375" style="4" bestFit="1" customWidth="1"/>
    <col min="3336" max="3336" width="18" style="4" bestFit="1" customWidth="1"/>
    <col min="3337" max="3337" width="17.7109375" style="4" bestFit="1" customWidth="1"/>
    <col min="3338" max="3338" width="15.7109375" style="4" customWidth="1"/>
    <col min="3339" max="3339" width="16.28515625" style="4" customWidth="1"/>
    <col min="3340" max="3340" width="15.140625" style="4" customWidth="1"/>
    <col min="3341" max="3341" width="14.28515625" style="4" customWidth="1"/>
    <col min="3342" max="3342" width="14.5703125" style="4" bestFit="1" customWidth="1"/>
    <col min="3343" max="3584" width="11.42578125" style="4"/>
    <col min="3585" max="3585" width="2.5703125" style="4" customWidth="1"/>
    <col min="3586" max="3586" width="22.42578125" style="4" customWidth="1"/>
    <col min="3587" max="3587" width="12.140625" style="4" bestFit="1" customWidth="1"/>
    <col min="3588" max="3588" width="8.140625" style="4" customWidth="1"/>
    <col min="3589" max="3589" width="8.5703125" style="4" customWidth="1"/>
    <col min="3590" max="3590" width="17" style="4" bestFit="1" customWidth="1"/>
    <col min="3591" max="3591" width="16.7109375" style="4" bestFit="1" customWidth="1"/>
    <col min="3592" max="3592" width="18" style="4" bestFit="1" customWidth="1"/>
    <col min="3593" max="3593" width="17.7109375" style="4" bestFit="1" customWidth="1"/>
    <col min="3594" max="3594" width="15.7109375" style="4" customWidth="1"/>
    <col min="3595" max="3595" width="16.28515625" style="4" customWidth="1"/>
    <col min="3596" max="3596" width="15.140625" style="4" customWidth="1"/>
    <col min="3597" max="3597" width="14.28515625" style="4" customWidth="1"/>
    <col min="3598" max="3598" width="14.5703125" style="4" bestFit="1" customWidth="1"/>
    <col min="3599" max="3840" width="11.42578125" style="4"/>
    <col min="3841" max="3841" width="2.5703125" style="4" customWidth="1"/>
    <col min="3842" max="3842" width="22.42578125" style="4" customWidth="1"/>
    <col min="3843" max="3843" width="12.140625" style="4" bestFit="1" customWidth="1"/>
    <col min="3844" max="3844" width="8.140625" style="4" customWidth="1"/>
    <col min="3845" max="3845" width="8.5703125" style="4" customWidth="1"/>
    <col min="3846" max="3846" width="17" style="4" bestFit="1" customWidth="1"/>
    <col min="3847" max="3847" width="16.7109375" style="4" bestFit="1" customWidth="1"/>
    <col min="3848" max="3848" width="18" style="4" bestFit="1" customWidth="1"/>
    <col min="3849" max="3849" width="17.7109375" style="4" bestFit="1" customWidth="1"/>
    <col min="3850" max="3850" width="15.7109375" style="4" customWidth="1"/>
    <col min="3851" max="3851" width="16.28515625" style="4" customWidth="1"/>
    <col min="3852" max="3852" width="15.140625" style="4" customWidth="1"/>
    <col min="3853" max="3853" width="14.28515625" style="4" customWidth="1"/>
    <col min="3854" max="3854" width="14.5703125" style="4" bestFit="1" customWidth="1"/>
    <col min="3855" max="4096" width="11.42578125" style="4"/>
    <col min="4097" max="4097" width="2.5703125" style="4" customWidth="1"/>
    <col min="4098" max="4098" width="22.42578125" style="4" customWidth="1"/>
    <col min="4099" max="4099" width="12.140625" style="4" bestFit="1" customWidth="1"/>
    <col min="4100" max="4100" width="8.140625" style="4" customWidth="1"/>
    <col min="4101" max="4101" width="8.5703125" style="4" customWidth="1"/>
    <col min="4102" max="4102" width="17" style="4" bestFit="1" customWidth="1"/>
    <col min="4103" max="4103" width="16.7109375" style="4" bestFit="1" customWidth="1"/>
    <col min="4104" max="4104" width="18" style="4" bestFit="1" customWidth="1"/>
    <col min="4105" max="4105" width="17.7109375" style="4" bestFit="1" customWidth="1"/>
    <col min="4106" max="4106" width="15.7109375" style="4" customWidth="1"/>
    <col min="4107" max="4107" width="16.28515625" style="4" customWidth="1"/>
    <col min="4108" max="4108" width="15.140625" style="4" customWidth="1"/>
    <col min="4109" max="4109" width="14.28515625" style="4" customWidth="1"/>
    <col min="4110" max="4110" width="14.5703125" style="4" bestFit="1" customWidth="1"/>
    <col min="4111" max="4352" width="11.42578125" style="4"/>
    <col min="4353" max="4353" width="2.5703125" style="4" customWidth="1"/>
    <col min="4354" max="4354" width="22.42578125" style="4" customWidth="1"/>
    <col min="4355" max="4355" width="12.140625" style="4" bestFit="1" customWidth="1"/>
    <col min="4356" max="4356" width="8.140625" style="4" customWidth="1"/>
    <col min="4357" max="4357" width="8.5703125" style="4" customWidth="1"/>
    <col min="4358" max="4358" width="17" style="4" bestFit="1" customWidth="1"/>
    <col min="4359" max="4359" width="16.7109375" style="4" bestFit="1" customWidth="1"/>
    <col min="4360" max="4360" width="18" style="4" bestFit="1" customWidth="1"/>
    <col min="4361" max="4361" width="17.7109375" style="4" bestFit="1" customWidth="1"/>
    <col min="4362" max="4362" width="15.7109375" style="4" customWidth="1"/>
    <col min="4363" max="4363" width="16.28515625" style="4" customWidth="1"/>
    <col min="4364" max="4364" width="15.140625" style="4" customWidth="1"/>
    <col min="4365" max="4365" width="14.28515625" style="4" customWidth="1"/>
    <col min="4366" max="4366" width="14.5703125" style="4" bestFit="1" customWidth="1"/>
    <col min="4367" max="4608" width="11.42578125" style="4"/>
    <col min="4609" max="4609" width="2.5703125" style="4" customWidth="1"/>
    <col min="4610" max="4610" width="22.42578125" style="4" customWidth="1"/>
    <col min="4611" max="4611" width="12.140625" style="4" bestFit="1" customWidth="1"/>
    <col min="4612" max="4612" width="8.140625" style="4" customWidth="1"/>
    <col min="4613" max="4613" width="8.5703125" style="4" customWidth="1"/>
    <col min="4614" max="4614" width="17" style="4" bestFit="1" customWidth="1"/>
    <col min="4615" max="4615" width="16.7109375" style="4" bestFit="1" customWidth="1"/>
    <col min="4616" max="4616" width="18" style="4" bestFit="1" customWidth="1"/>
    <col min="4617" max="4617" width="17.7109375" style="4" bestFit="1" customWidth="1"/>
    <col min="4618" max="4618" width="15.7109375" style="4" customWidth="1"/>
    <col min="4619" max="4619" width="16.28515625" style="4" customWidth="1"/>
    <col min="4620" max="4620" width="15.140625" style="4" customWidth="1"/>
    <col min="4621" max="4621" width="14.28515625" style="4" customWidth="1"/>
    <col min="4622" max="4622" width="14.5703125" style="4" bestFit="1" customWidth="1"/>
    <col min="4623" max="4864" width="11.42578125" style="4"/>
    <col min="4865" max="4865" width="2.5703125" style="4" customWidth="1"/>
    <col min="4866" max="4866" width="22.42578125" style="4" customWidth="1"/>
    <col min="4867" max="4867" width="12.140625" style="4" bestFit="1" customWidth="1"/>
    <col min="4868" max="4868" width="8.140625" style="4" customWidth="1"/>
    <col min="4869" max="4869" width="8.5703125" style="4" customWidth="1"/>
    <col min="4870" max="4870" width="17" style="4" bestFit="1" customWidth="1"/>
    <col min="4871" max="4871" width="16.7109375" style="4" bestFit="1" customWidth="1"/>
    <col min="4872" max="4872" width="18" style="4" bestFit="1" customWidth="1"/>
    <col min="4873" max="4873" width="17.7109375" style="4" bestFit="1" customWidth="1"/>
    <col min="4874" max="4874" width="15.7109375" style="4" customWidth="1"/>
    <col min="4875" max="4875" width="16.28515625" style="4" customWidth="1"/>
    <col min="4876" max="4876" width="15.140625" style="4" customWidth="1"/>
    <col min="4877" max="4877" width="14.28515625" style="4" customWidth="1"/>
    <col min="4878" max="4878" width="14.5703125" style="4" bestFit="1" customWidth="1"/>
    <col min="4879" max="5120" width="11.42578125" style="4"/>
    <col min="5121" max="5121" width="2.5703125" style="4" customWidth="1"/>
    <col min="5122" max="5122" width="22.42578125" style="4" customWidth="1"/>
    <col min="5123" max="5123" width="12.140625" style="4" bestFit="1" customWidth="1"/>
    <col min="5124" max="5124" width="8.140625" style="4" customWidth="1"/>
    <col min="5125" max="5125" width="8.5703125" style="4" customWidth="1"/>
    <col min="5126" max="5126" width="17" style="4" bestFit="1" customWidth="1"/>
    <col min="5127" max="5127" width="16.7109375" style="4" bestFit="1" customWidth="1"/>
    <col min="5128" max="5128" width="18" style="4" bestFit="1" customWidth="1"/>
    <col min="5129" max="5129" width="17.7109375" style="4" bestFit="1" customWidth="1"/>
    <col min="5130" max="5130" width="15.7109375" style="4" customWidth="1"/>
    <col min="5131" max="5131" width="16.28515625" style="4" customWidth="1"/>
    <col min="5132" max="5132" width="15.140625" style="4" customWidth="1"/>
    <col min="5133" max="5133" width="14.28515625" style="4" customWidth="1"/>
    <col min="5134" max="5134" width="14.5703125" style="4" bestFit="1" customWidth="1"/>
    <col min="5135" max="5376" width="11.42578125" style="4"/>
    <col min="5377" max="5377" width="2.5703125" style="4" customWidth="1"/>
    <col min="5378" max="5378" width="22.42578125" style="4" customWidth="1"/>
    <col min="5379" max="5379" width="12.140625" style="4" bestFit="1" customWidth="1"/>
    <col min="5380" max="5380" width="8.140625" style="4" customWidth="1"/>
    <col min="5381" max="5381" width="8.5703125" style="4" customWidth="1"/>
    <col min="5382" max="5382" width="17" style="4" bestFit="1" customWidth="1"/>
    <col min="5383" max="5383" width="16.7109375" style="4" bestFit="1" customWidth="1"/>
    <col min="5384" max="5384" width="18" style="4" bestFit="1" customWidth="1"/>
    <col min="5385" max="5385" width="17.7109375" style="4" bestFit="1" customWidth="1"/>
    <col min="5386" max="5386" width="15.7109375" style="4" customWidth="1"/>
    <col min="5387" max="5387" width="16.28515625" style="4" customWidth="1"/>
    <col min="5388" max="5388" width="15.140625" style="4" customWidth="1"/>
    <col min="5389" max="5389" width="14.28515625" style="4" customWidth="1"/>
    <col min="5390" max="5390" width="14.5703125" style="4" bestFit="1" customWidth="1"/>
    <col min="5391" max="5632" width="11.42578125" style="4"/>
    <col min="5633" max="5633" width="2.5703125" style="4" customWidth="1"/>
    <col min="5634" max="5634" width="22.42578125" style="4" customWidth="1"/>
    <col min="5635" max="5635" width="12.140625" style="4" bestFit="1" customWidth="1"/>
    <col min="5636" max="5636" width="8.140625" style="4" customWidth="1"/>
    <col min="5637" max="5637" width="8.5703125" style="4" customWidth="1"/>
    <col min="5638" max="5638" width="17" style="4" bestFit="1" customWidth="1"/>
    <col min="5639" max="5639" width="16.7109375" style="4" bestFit="1" customWidth="1"/>
    <col min="5640" max="5640" width="18" style="4" bestFit="1" customWidth="1"/>
    <col min="5641" max="5641" width="17.7109375" style="4" bestFit="1" customWidth="1"/>
    <col min="5642" max="5642" width="15.7109375" style="4" customWidth="1"/>
    <col min="5643" max="5643" width="16.28515625" style="4" customWidth="1"/>
    <col min="5644" max="5644" width="15.140625" style="4" customWidth="1"/>
    <col min="5645" max="5645" width="14.28515625" style="4" customWidth="1"/>
    <col min="5646" max="5646" width="14.5703125" style="4" bestFit="1" customWidth="1"/>
    <col min="5647" max="5888" width="11.42578125" style="4"/>
    <col min="5889" max="5889" width="2.5703125" style="4" customWidth="1"/>
    <col min="5890" max="5890" width="22.42578125" style="4" customWidth="1"/>
    <col min="5891" max="5891" width="12.140625" style="4" bestFit="1" customWidth="1"/>
    <col min="5892" max="5892" width="8.140625" style="4" customWidth="1"/>
    <col min="5893" max="5893" width="8.5703125" style="4" customWidth="1"/>
    <col min="5894" max="5894" width="17" style="4" bestFit="1" customWidth="1"/>
    <col min="5895" max="5895" width="16.7109375" style="4" bestFit="1" customWidth="1"/>
    <col min="5896" max="5896" width="18" style="4" bestFit="1" customWidth="1"/>
    <col min="5897" max="5897" width="17.7109375" style="4" bestFit="1" customWidth="1"/>
    <col min="5898" max="5898" width="15.7109375" style="4" customWidth="1"/>
    <col min="5899" max="5899" width="16.28515625" style="4" customWidth="1"/>
    <col min="5900" max="5900" width="15.140625" style="4" customWidth="1"/>
    <col min="5901" max="5901" width="14.28515625" style="4" customWidth="1"/>
    <col min="5902" max="5902" width="14.5703125" style="4" bestFit="1" customWidth="1"/>
    <col min="5903" max="6144" width="11.42578125" style="4"/>
    <col min="6145" max="6145" width="2.5703125" style="4" customWidth="1"/>
    <col min="6146" max="6146" width="22.42578125" style="4" customWidth="1"/>
    <col min="6147" max="6147" width="12.140625" style="4" bestFit="1" customWidth="1"/>
    <col min="6148" max="6148" width="8.140625" style="4" customWidth="1"/>
    <col min="6149" max="6149" width="8.5703125" style="4" customWidth="1"/>
    <col min="6150" max="6150" width="17" style="4" bestFit="1" customWidth="1"/>
    <col min="6151" max="6151" width="16.7109375" style="4" bestFit="1" customWidth="1"/>
    <col min="6152" max="6152" width="18" style="4" bestFit="1" customWidth="1"/>
    <col min="6153" max="6153" width="17.7109375" style="4" bestFit="1" customWidth="1"/>
    <col min="6154" max="6154" width="15.7109375" style="4" customWidth="1"/>
    <col min="6155" max="6155" width="16.28515625" style="4" customWidth="1"/>
    <col min="6156" max="6156" width="15.140625" style="4" customWidth="1"/>
    <col min="6157" max="6157" width="14.28515625" style="4" customWidth="1"/>
    <col min="6158" max="6158" width="14.5703125" style="4" bestFit="1" customWidth="1"/>
    <col min="6159" max="6400" width="11.42578125" style="4"/>
    <col min="6401" max="6401" width="2.5703125" style="4" customWidth="1"/>
    <col min="6402" max="6402" width="22.42578125" style="4" customWidth="1"/>
    <col min="6403" max="6403" width="12.140625" style="4" bestFit="1" customWidth="1"/>
    <col min="6404" max="6404" width="8.140625" style="4" customWidth="1"/>
    <col min="6405" max="6405" width="8.5703125" style="4" customWidth="1"/>
    <col min="6406" max="6406" width="17" style="4" bestFit="1" customWidth="1"/>
    <col min="6407" max="6407" width="16.7109375" style="4" bestFit="1" customWidth="1"/>
    <col min="6408" max="6408" width="18" style="4" bestFit="1" customWidth="1"/>
    <col min="6409" max="6409" width="17.7109375" style="4" bestFit="1" customWidth="1"/>
    <col min="6410" max="6410" width="15.7109375" style="4" customWidth="1"/>
    <col min="6411" max="6411" width="16.28515625" style="4" customWidth="1"/>
    <col min="6412" max="6412" width="15.140625" style="4" customWidth="1"/>
    <col min="6413" max="6413" width="14.28515625" style="4" customWidth="1"/>
    <col min="6414" max="6414" width="14.5703125" style="4" bestFit="1" customWidth="1"/>
    <col min="6415" max="6656" width="11.42578125" style="4"/>
    <col min="6657" max="6657" width="2.5703125" style="4" customWidth="1"/>
    <col min="6658" max="6658" width="22.42578125" style="4" customWidth="1"/>
    <col min="6659" max="6659" width="12.140625" style="4" bestFit="1" customWidth="1"/>
    <col min="6660" max="6660" width="8.140625" style="4" customWidth="1"/>
    <col min="6661" max="6661" width="8.5703125" style="4" customWidth="1"/>
    <col min="6662" max="6662" width="17" style="4" bestFit="1" customWidth="1"/>
    <col min="6663" max="6663" width="16.7109375" style="4" bestFit="1" customWidth="1"/>
    <col min="6664" max="6664" width="18" style="4" bestFit="1" customWidth="1"/>
    <col min="6665" max="6665" width="17.7109375" style="4" bestFit="1" customWidth="1"/>
    <col min="6666" max="6666" width="15.7109375" style="4" customWidth="1"/>
    <col min="6667" max="6667" width="16.28515625" style="4" customWidth="1"/>
    <col min="6668" max="6668" width="15.140625" style="4" customWidth="1"/>
    <col min="6669" max="6669" width="14.28515625" style="4" customWidth="1"/>
    <col min="6670" max="6670" width="14.5703125" style="4" bestFit="1" customWidth="1"/>
    <col min="6671" max="6912" width="11.42578125" style="4"/>
    <col min="6913" max="6913" width="2.5703125" style="4" customWidth="1"/>
    <col min="6914" max="6914" width="22.42578125" style="4" customWidth="1"/>
    <col min="6915" max="6915" width="12.140625" style="4" bestFit="1" customWidth="1"/>
    <col min="6916" max="6916" width="8.140625" style="4" customWidth="1"/>
    <col min="6917" max="6917" width="8.5703125" style="4" customWidth="1"/>
    <col min="6918" max="6918" width="17" style="4" bestFit="1" customWidth="1"/>
    <col min="6919" max="6919" width="16.7109375" style="4" bestFit="1" customWidth="1"/>
    <col min="6920" max="6920" width="18" style="4" bestFit="1" customWidth="1"/>
    <col min="6921" max="6921" width="17.7109375" style="4" bestFit="1" customWidth="1"/>
    <col min="6922" max="6922" width="15.7109375" style="4" customWidth="1"/>
    <col min="6923" max="6923" width="16.28515625" style="4" customWidth="1"/>
    <col min="6924" max="6924" width="15.140625" style="4" customWidth="1"/>
    <col min="6925" max="6925" width="14.28515625" style="4" customWidth="1"/>
    <col min="6926" max="6926" width="14.5703125" style="4" bestFit="1" customWidth="1"/>
    <col min="6927" max="7168" width="11.42578125" style="4"/>
    <col min="7169" max="7169" width="2.5703125" style="4" customWidth="1"/>
    <col min="7170" max="7170" width="22.42578125" style="4" customWidth="1"/>
    <col min="7171" max="7171" width="12.140625" style="4" bestFit="1" customWidth="1"/>
    <col min="7172" max="7172" width="8.140625" style="4" customWidth="1"/>
    <col min="7173" max="7173" width="8.5703125" style="4" customWidth="1"/>
    <col min="7174" max="7174" width="17" style="4" bestFit="1" customWidth="1"/>
    <col min="7175" max="7175" width="16.7109375" style="4" bestFit="1" customWidth="1"/>
    <col min="7176" max="7176" width="18" style="4" bestFit="1" customWidth="1"/>
    <col min="7177" max="7177" width="17.7109375" style="4" bestFit="1" customWidth="1"/>
    <col min="7178" max="7178" width="15.7109375" style="4" customWidth="1"/>
    <col min="7179" max="7179" width="16.28515625" style="4" customWidth="1"/>
    <col min="7180" max="7180" width="15.140625" style="4" customWidth="1"/>
    <col min="7181" max="7181" width="14.28515625" style="4" customWidth="1"/>
    <col min="7182" max="7182" width="14.5703125" style="4" bestFit="1" customWidth="1"/>
    <col min="7183" max="7424" width="11.42578125" style="4"/>
    <col min="7425" max="7425" width="2.5703125" style="4" customWidth="1"/>
    <col min="7426" max="7426" width="22.42578125" style="4" customWidth="1"/>
    <col min="7427" max="7427" width="12.140625" style="4" bestFit="1" customWidth="1"/>
    <col min="7428" max="7428" width="8.140625" style="4" customWidth="1"/>
    <col min="7429" max="7429" width="8.5703125" style="4" customWidth="1"/>
    <col min="7430" max="7430" width="17" style="4" bestFit="1" customWidth="1"/>
    <col min="7431" max="7431" width="16.7109375" style="4" bestFit="1" customWidth="1"/>
    <col min="7432" max="7432" width="18" style="4" bestFit="1" customWidth="1"/>
    <col min="7433" max="7433" width="17.7109375" style="4" bestFit="1" customWidth="1"/>
    <col min="7434" max="7434" width="15.7109375" style="4" customWidth="1"/>
    <col min="7435" max="7435" width="16.28515625" style="4" customWidth="1"/>
    <col min="7436" max="7436" width="15.140625" style="4" customWidth="1"/>
    <col min="7437" max="7437" width="14.28515625" style="4" customWidth="1"/>
    <col min="7438" max="7438" width="14.5703125" style="4" bestFit="1" customWidth="1"/>
    <col min="7439" max="7680" width="11.42578125" style="4"/>
    <col min="7681" max="7681" width="2.5703125" style="4" customWidth="1"/>
    <col min="7682" max="7682" width="22.42578125" style="4" customWidth="1"/>
    <col min="7683" max="7683" width="12.140625" style="4" bestFit="1" customWidth="1"/>
    <col min="7684" max="7684" width="8.140625" style="4" customWidth="1"/>
    <col min="7685" max="7685" width="8.5703125" style="4" customWidth="1"/>
    <col min="7686" max="7686" width="17" style="4" bestFit="1" customWidth="1"/>
    <col min="7687" max="7687" width="16.7109375" style="4" bestFit="1" customWidth="1"/>
    <col min="7688" max="7688" width="18" style="4" bestFit="1" customWidth="1"/>
    <col min="7689" max="7689" width="17.7109375" style="4" bestFit="1" customWidth="1"/>
    <col min="7690" max="7690" width="15.7109375" style="4" customWidth="1"/>
    <col min="7691" max="7691" width="16.28515625" style="4" customWidth="1"/>
    <col min="7692" max="7692" width="15.140625" style="4" customWidth="1"/>
    <col min="7693" max="7693" width="14.28515625" style="4" customWidth="1"/>
    <col min="7694" max="7694" width="14.5703125" style="4" bestFit="1" customWidth="1"/>
    <col min="7695" max="7936" width="11.42578125" style="4"/>
    <col min="7937" max="7937" width="2.5703125" style="4" customWidth="1"/>
    <col min="7938" max="7938" width="22.42578125" style="4" customWidth="1"/>
    <col min="7939" max="7939" width="12.140625" style="4" bestFit="1" customWidth="1"/>
    <col min="7940" max="7940" width="8.140625" style="4" customWidth="1"/>
    <col min="7941" max="7941" width="8.5703125" style="4" customWidth="1"/>
    <col min="7942" max="7942" width="17" style="4" bestFit="1" customWidth="1"/>
    <col min="7943" max="7943" width="16.7109375" style="4" bestFit="1" customWidth="1"/>
    <col min="7944" max="7944" width="18" style="4" bestFit="1" customWidth="1"/>
    <col min="7945" max="7945" width="17.7109375" style="4" bestFit="1" customWidth="1"/>
    <col min="7946" max="7946" width="15.7109375" style="4" customWidth="1"/>
    <col min="7947" max="7947" width="16.28515625" style="4" customWidth="1"/>
    <col min="7948" max="7948" width="15.140625" style="4" customWidth="1"/>
    <col min="7949" max="7949" width="14.28515625" style="4" customWidth="1"/>
    <col min="7950" max="7950" width="14.5703125" style="4" bestFit="1" customWidth="1"/>
    <col min="7951" max="8192" width="11.42578125" style="4"/>
    <col min="8193" max="8193" width="2.5703125" style="4" customWidth="1"/>
    <col min="8194" max="8194" width="22.42578125" style="4" customWidth="1"/>
    <col min="8195" max="8195" width="12.140625" style="4" bestFit="1" customWidth="1"/>
    <col min="8196" max="8196" width="8.140625" style="4" customWidth="1"/>
    <col min="8197" max="8197" width="8.5703125" style="4" customWidth="1"/>
    <col min="8198" max="8198" width="17" style="4" bestFit="1" customWidth="1"/>
    <col min="8199" max="8199" width="16.7109375" style="4" bestFit="1" customWidth="1"/>
    <col min="8200" max="8200" width="18" style="4" bestFit="1" customWidth="1"/>
    <col min="8201" max="8201" width="17.7109375" style="4" bestFit="1" customWidth="1"/>
    <col min="8202" max="8202" width="15.7109375" style="4" customWidth="1"/>
    <col min="8203" max="8203" width="16.28515625" style="4" customWidth="1"/>
    <col min="8204" max="8204" width="15.140625" style="4" customWidth="1"/>
    <col min="8205" max="8205" width="14.28515625" style="4" customWidth="1"/>
    <col min="8206" max="8206" width="14.5703125" style="4" bestFit="1" customWidth="1"/>
    <col min="8207" max="8448" width="11.42578125" style="4"/>
    <col min="8449" max="8449" width="2.5703125" style="4" customWidth="1"/>
    <col min="8450" max="8450" width="22.42578125" style="4" customWidth="1"/>
    <col min="8451" max="8451" width="12.140625" style="4" bestFit="1" customWidth="1"/>
    <col min="8452" max="8452" width="8.140625" style="4" customWidth="1"/>
    <col min="8453" max="8453" width="8.5703125" style="4" customWidth="1"/>
    <col min="8454" max="8454" width="17" style="4" bestFit="1" customWidth="1"/>
    <col min="8455" max="8455" width="16.7109375" style="4" bestFit="1" customWidth="1"/>
    <col min="8456" max="8456" width="18" style="4" bestFit="1" customWidth="1"/>
    <col min="8457" max="8457" width="17.7109375" style="4" bestFit="1" customWidth="1"/>
    <col min="8458" max="8458" width="15.7109375" style="4" customWidth="1"/>
    <col min="8459" max="8459" width="16.28515625" style="4" customWidth="1"/>
    <col min="8460" max="8460" width="15.140625" style="4" customWidth="1"/>
    <col min="8461" max="8461" width="14.28515625" style="4" customWidth="1"/>
    <col min="8462" max="8462" width="14.5703125" style="4" bestFit="1" customWidth="1"/>
    <col min="8463" max="8704" width="11.42578125" style="4"/>
    <col min="8705" max="8705" width="2.5703125" style="4" customWidth="1"/>
    <col min="8706" max="8706" width="22.42578125" style="4" customWidth="1"/>
    <col min="8707" max="8707" width="12.140625" style="4" bestFit="1" customWidth="1"/>
    <col min="8708" max="8708" width="8.140625" style="4" customWidth="1"/>
    <col min="8709" max="8709" width="8.5703125" style="4" customWidth="1"/>
    <col min="8710" max="8710" width="17" style="4" bestFit="1" customWidth="1"/>
    <col min="8711" max="8711" width="16.7109375" style="4" bestFit="1" customWidth="1"/>
    <col min="8712" max="8712" width="18" style="4" bestFit="1" customWidth="1"/>
    <col min="8713" max="8713" width="17.7109375" style="4" bestFit="1" customWidth="1"/>
    <col min="8714" max="8714" width="15.7109375" style="4" customWidth="1"/>
    <col min="8715" max="8715" width="16.28515625" style="4" customWidth="1"/>
    <col min="8716" max="8716" width="15.140625" style="4" customWidth="1"/>
    <col min="8717" max="8717" width="14.28515625" style="4" customWidth="1"/>
    <col min="8718" max="8718" width="14.5703125" style="4" bestFit="1" customWidth="1"/>
    <col min="8719" max="8960" width="11.42578125" style="4"/>
    <col min="8961" max="8961" width="2.5703125" style="4" customWidth="1"/>
    <col min="8962" max="8962" width="22.42578125" style="4" customWidth="1"/>
    <col min="8963" max="8963" width="12.140625" style="4" bestFit="1" customWidth="1"/>
    <col min="8964" max="8964" width="8.140625" style="4" customWidth="1"/>
    <col min="8965" max="8965" width="8.5703125" style="4" customWidth="1"/>
    <col min="8966" max="8966" width="17" style="4" bestFit="1" customWidth="1"/>
    <col min="8967" max="8967" width="16.7109375" style="4" bestFit="1" customWidth="1"/>
    <col min="8968" max="8968" width="18" style="4" bestFit="1" customWidth="1"/>
    <col min="8969" max="8969" width="17.7109375" style="4" bestFit="1" customWidth="1"/>
    <col min="8970" max="8970" width="15.7109375" style="4" customWidth="1"/>
    <col min="8971" max="8971" width="16.28515625" style="4" customWidth="1"/>
    <col min="8972" max="8972" width="15.140625" style="4" customWidth="1"/>
    <col min="8973" max="8973" width="14.28515625" style="4" customWidth="1"/>
    <col min="8974" max="8974" width="14.5703125" style="4" bestFit="1" customWidth="1"/>
    <col min="8975" max="9216" width="11.42578125" style="4"/>
    <col min="9217" max="9217" width="2.5703125" style="4" customWidth="1"/>
    <col min="9218" max="9218" width="22.42578125" style="4" customWidth="1"/>
    <col min="9219" max="9219" width="12.140625" style="4" bestFit="1" customWidth="1"/>
    <col min="9220" max="9220" width="8.140625" style="4" customWidth="1"/>
    <col min="9221" max="9221" width="8.5703125" style="4" customWidth="1"/>
    <col min="9222" max="9222" width="17" style="4" bestFit="1" customWidth="1"/>
    <col min="9223" max="9223" width="16.7109375" style="4" bestFit="1" customWidth="1"/>
    <col min="9224" max="9224" width="18" style="4" bestFit="1" customWidth="1"/>
    <col min="9225" max="9225" width="17.7109375" style="4" bestFit="1" customWidth="1"/>
    <col min="9226" max="9226" width="15.7109375" style="4" customWidth="1"/>
    <col min="9227" max="9227" width="16.28515625" style="4" customWidth="1"/>
    <col min="9228" max="9228" width="15.140625" style="4" customWidth="1"/>
    <col min="9229" max="9229" width="14.28515625" style="4" customWidth="1"/>
    <col min="9230" max="9230" width="14.5703125" style="4" bestFit="1" customWidth="1"/>
    <col min="9231" max="9472" width="11.42578125" style="4"/>
    <col min="9473" max="9473" width="2.5703125" style="4" customWidth="1"/>
    <col min="9474" max="9474" width="22.42578125" style="4" customWidth="1"/>
    <col min="9475" max="9475" width="12.140625" style="4" bestFit="1" customWidth="1"/>
    <col min="9476" max="9476" width="8.140625" style="4" customWidth="1"/>
    <col min="9477" max="9477" width="8.5703125" style="4" customWidth="1"/>
    <col min="9478" max="9478" width="17" style="4" bestFit="1" customWidth="1"/>
    <col min="9479" max="9479" width="16.7109375" style="4" bestFit="1" customWidth="1"/>
    <col min="9480" max="9480" width="18" style="4" bestFit="1" customWidth="1"/>
    <col min="9481" max="9481" width="17.7109375" style="4" bestFit="1" customWidth="1"/>
    <col min="9482" max="9482" width="15.7109375" style="4" customWidth="1"/>
    <col min="9483" max="9483" width="16.28515625" style="4" customWidth="1"/>
    <col min="9484" max="9484" width="15.140625" style="4" customWidth="1"/>
    <col min="9485" max="9485" width="14.28515625" style="4" customWidth="1"/>
    <col min="9486" max="9486" width="14.5703125" style="4" bestFit="1" customWidth="1"/>
    <col min="9487" max="9728" width="11.42578125" style="4"/>
    <col min="9729" max="9729" width="2.5703125" style="4" customWidth="1"/>
    <col min="9730" max="9730" width="22.42578125" style="4" customWidth="1"/>
    <col min="9731" max="9731" width="12.140625" style="4" bestFit="1" customWidth="1"/>
    <col min="9732" max="9732" width="8.140625" style="4" customWidth="1"/>
    <col min="9733" max="9733" width="8.5703125" style="4" customWidth="1"/>
    <col min="9734" max="9734" width="17" style="4" bestFit="1" customWidth="1"/>
    <col min="9735" max="9735" width="16.7109375" style="4" bestFit="1" customWidth="1"/>
    <col min="9736" max="9736" width="18" style="4" bestFit="1" customWidth="1"/>
    <col min="9737" max="9737" width="17.7109375" style="4" bestFit="1" customWidth="1"/>
    <col min="9738" max="9738" width="15.7109375" style="4" customWidth="1"/>
    <col min="9739" max="9739" width="16.28515625" style="4" customWidth="1"/>
    <col min="9740" max="9740" width="15.140625" style="4" customWidth="1"/>
    <col min="9741" max="9741" width="14.28515625" style="4" customWidth="1"/>
    <col min="9742" max="9742" width="14.5703125" style="4" bestFit="1" customWidth="1"/>
    <col min="9743" max="9984" width="11.42578125" style="4"/>
    <col min="9985" max="9985" width="2.5703125" style="4" customWidth="1"/>
    <col min="9986" max="9986" width="22.42578125" style="4" customWidth="1"/>
    <col min="9987" max="9987" width="12.140625" style="4" bestFit="1" customWidth="1"/>
    <col min="9988" max="9988" width="8.140625" style="4" customWidth="1"/>
    <col min="9989" max="9989" width="8.5703125" style="4" customWidth="1"/>
    <col min="9990" max="9990" width="17" style="4" bestFit="1" customWidth="1"/>
    <col min="9991" max="9991" width="16.7109375" style="4" bestFit="1" customWidth="1"/>
    <col min="9992" max="9992" width="18" style="4" bestFit="1" customWidth="1"/>
    <col min="9993" max="9993" width="17.7109375" style="4" bestFit="1" customWidth="1"/>
    <col min="9994" max="9994" width="15.7109375" style="4" customWidth="1"/>
    <col min="9995" max="9995" width="16.28515625" style="4" customWidth="1"/>
    <col min="9996" max="9996" width="15.140625" style="4" customWidth="1"/>
    <col min="9997" max="9997" width="14.28515625" style="4" customWidth="1"/>
    <col min="9998" max="9998" width="14.5703125" style="4" bestFit="1" customWidth="1"/>
    <col min="9999" max="10240" width="11.42578125" style="4"/>
    <col min="10241" max="10241" width="2.5703125" style="4" customWidth="1"/>
    <col min="10242" max="10242" width="22.42578125" style="4" customWidth="1"/>
    <col min="10243" max="10243" width="12.140625" style="4" bestFit="1" customWidth="1"/>
    <col min="10244" max="10244" width="8.140625" style="4" customWidth="1"/>
    <col min="10245" max="10245" width="8.5703125" style="4" customWidth="1"/>
    <col min="10246" max="10246" width="17" style="4" bestFit="1" customWidth="1"/>
    <col min="10247" max="10247" width="16.7109375" style="4" bestFit="1" customWidth="1"/>
    <col min="10248" max="10248" width="18" style="4" bestFit="1" customWidth="1"/>
    <col min="10249" max="10249" width="17.7109375" style="4" bestFit="1" customWidth="1"/>
    <col min="10250" max="10250" width="15.7109375" style="4" customWidth="1"/>
    <col min="10251" max="10251" width="16.28515625" style="4" customWidth="1"/>
    <col min="10252" max="10252" width="15.140625" style="4" customWidth="1"/>
    <col min="10253" max="10253" width="14.28515625" style="4" customWidth="1"/>
    <col min="10254" max="10254" width="14.5703125" style="4" bestFit="1" customWidth="1"/>
    <col min="10255" max="10496" width="11.42578125" style="4"/>
    <col min="10497" max="10497" width="2.5703125" style="4" customWidth="1"/>
    <col min="10498" max="10498" width="22.42578125" style="4" customWidth="1"/>
    <col min="10499" max="10499" width="12.140625" style="4" bestFit="1" customWidth="1"/>
    <col min="10500" max="10500" width="8.140625" style="4" customWidth="1"/>
    <col min="10501" max="10501" width="8.5703125" style="4" customWidth="1"/>
    <col min="10502" max="10502" width="17" style="4" bestFit="1" customWidth="1"/>
    <col min="10503" max="10503" width="16.7109375" style="4" bestFit="1" customWidth="1"/>
    <col min="10504" max="10504" width="18" style="4" bestFit="1" customWidth="1"/>
    <col min="10505" max="10505" width="17.7109375" style="4" bestFit="1" customWidth="1"/>
    <col min="10506" max="10506" width="15.7109375" style="4" customWidth="1"/>
    <col min="10507" max="10507" width="16.28515625" style="4" customWidth="1"/>
    <col min="10508" max="10508" width="15.140625" style="4" customWidth="1"/>
    <col min="10509" max="10509" width="14.28515625" style="4" customWidth="1"/>
    <col min="10510" max="10510" width="14.5703125" style="4" bestFit="1" customWidth="1"/>
    <col min="10511" max="10752" width="11.42578125" style="4"/>
    <col min="10753" max="10753" width="2.5703125" style="4" customWidth="1"/>
    <col min="10754" max="10754" width="22.42578125" style="4" customWidth="1"/>
    <col min="10755" max="10755" width="12.140625" style="4" bestFit="1" customWidth="1"/>
    <col min="10756" max="10756" width="8.140625" style="4" customWidth="1"/>
    <col min="10757" max="10757" width="8.5703125" style="4" customWidth="1"/>
    <col min="10758" max="10758" width="17" style="4" bestFit="1" customWidth="1"/>
    <col min="10759" max="10759" width="16.7109375" style="4" bestFit="1" customWidth="1"/>
    <col min="10760" max="10760" width="18" style="4" bestFit="1" customWidth="1"/>
    <col min="10761" max="10761" width="17.7109375" style="4" bestFit="1" customWidth="1"/>
    <col min="10762" max="10762" width="15.7109375" style="4" customWidth="1"/>
    <col min="10763" max="10763" width="16.28515625" style="4" customWidth="1"/>
    <col min="10764" max="10764" width="15.140625" style="4" customWidth="1"/>
    <col min="10765" max="10765" width="14.28515625" style="4" customWidth="1"/>
    <col min="10766" max="10766" width="14.5703125" style="4" bestFit="1" customWidth="1"/>
    <col min="10767" max="11008" width="11.42578125" style="4"/>
    <col min="11009" max="11009" width="2.5703125" style="4" customWidth="1"/>
    <col min="11010" max="11010" width="22.42578125" style="4" customWidth="1"/>
    <col min="11011" max="11011" width="12.140625" style="4" bestFit="1" customWidth="1"/>
    <col min="11012" max="11012" width="8.140625" style="4" customWidth="1"/>
    <col min="11013" max="11013" width="8.5703125" style="4" customWidth="1"/>
    <col min="11014" max="11014" width="17" style="4" bestFit="1" customWidth="1"/>
    <col min="11015" max="11015" width="16.7109375" style="4" bestFit="1" customWidth="1"/>
    <col min="11016" max="11016" width="18" style="4" bestFit="1" customWidth="1"/>
    <col min="11017" max="11017" width="17.7109375" style="4" bestFit="1" customWidth="1"/>
    <col min="11018" max="11018" width="15.7109375" style="4" customWidth="1"/>
    <col min="11019" max="11019" width="16.28515625" style="4" customWidth="1"/>
    <col min="11020" max="11020" width="15.140625" style="4" customWidth="1"/>
    <col min="11021" max="11021" width="14.28515625" style="4" customWidth="1"/>
    <col min="11022" max="11022" width="14.5703125" style="4" bestFit="1" customWidth="1"/>
    <col min="11023" max="11264" width="11.42578125" style="4"/>
    <col min="11265" max="11265" width="2.5703125" style="4" customWidth="1"/>
    <col min="11266" max="11266" width="22.42578125" style="4" customWidth="1"/>
    <col min="11267" max="11267" width="12.140625" style="4" bestFit="1" customWidth="1"/>
    <col min="11268" max="11268" width="8.140625" style="4" customWidth="1"/>
    <col min="11269" max="11269" width="8.5703125" style="4" customWidth="1"/>
    <col min="11270" max="11270" width="17" style="4" bestFit="1" customWidth="1"/>
    <col min="11271" max="11271" width="16.7109375" style="4" bestFit="1" customWidth="1"/>
    <col min="11272" max="11272" width="18" style="4" bestFit="1" customWidth="1"/>
    <col min="11273" max="11273" width="17.7109375" style="4" bestFit="1" customWidth="1"/>
    <col min="11274" max="11274" width="15.7109375" style="4" customWidth="1"/>
    <col min="11275" max="11275" width="16.28515625" style="4" customWidth="1"/>
    <col min="11276" max="11276" width="15.140625" style="4" customWidth="1"/>
    <col min="11277" max="11277" width="14.28515625" style="4" customWidth="1"/>
    <col min="11278" max="11278" width="14.5703125" style="4" bestFit="1" customWidth="1"/>
    <col min="11279" max="11520" width="11.42578125" style="4"/>
    <col min="11521" max="11521" width="2.5703125" style="4" customWidth="1"/>
    <col min="11522" max="11522" width="22.42578125" style="4" customWidth="1"/>
    <col min="11523" max="11523" width="12.140625" style="4" bestFit="1" customWidth="1"/>
    <col min="11524" max="11524" width="8.140625" style="4" customWidth="1"/>
    <col min="11525" max="11525" width="8.5703125" style="4" customWidth="1"/>
    <col min="11526" max="11526" width="17" style="4" bestFit="1" customWidth="1"/>
    <col min="11527" max="11527" width="16.7109375" style="4" bestFit="1" customWidth="1"/>
    <col min="11528" max="11528" width="18" style="4" bestFit="1" customWidth="1"/>
    <col min="11529" max="11529" width="17.7109375" style="4" bestFit="1" customWidth="1"/>
    <col min="11530" max="11530" width="15.7109375" style="4" customWidth="1"/>
    <col min="11531" max="11531" width="16.28515625" style="4" customWidth="1"/>
    <col min="11532" max="11532" width="15.140625" style="4" customWidth="1"/>
    <col min="11533" max="11533" width="14.28515625" style="4" customWidth="1"/>
    <col min="11534" max="11534" width="14.5703125" style="4" bestFit="1" customWidth="1"/>
    <col min="11535" max="11776" width="11.42578125" style="4"/>
    <col min="11777" max="11777" width="2.5703125" style="4" customWidth="1"/>
    <col min="11778" max="11778" width="22.42578125" style="4" customWidth="1"/>
    <col min="11779" max="11779" width="12.140625" style="4" bestFit="1" customWidth="1"/>
    <col min="11780" max="11780" width="8.140625" style="4" customWidth="1"/>
    <col min="11781" max="11781" width="8.5703125" style="4" customWidth="1"/>
    <col min="11782" max="11782" width="17" style="4" bestFit="1" customWidth="1"/>
    <col min="11783" max="11783" width="16.7109375" style="4" bestFit="1" customWidth="1"/>
    <col min="11784" max="11784" width="18" style="4" bestFit="1" customWidth="1"/>
    <col min="11785" max="11785" width="17.7109375" style="4" bestFit="1" customWidth="1"/>
    <col min="11786" max="11786" width="15.7109375" style="4" customWidth="1"/>
    <col min="11787" max="11787" width="16.28515625" style="4" customWidth="1"/>
    <col min="11788" max="11788" width="15.140625" style="4" customWidth="1"/>
    <col min="11789" max="11789" width="14.28515625" style="4" customWidth="1"/>
    <col min="11790" max="11790" width="14.5703125" style="4" bestFit="1" customWidth="1"/>
    <col min="11791" max="12032" width="11.42578125" style="4"/>
    <col min="12033" max="12033" width="2.5703125" style="4" customWidth="1"/>
    <col min="12034" max="12034" width="22.42578125" style="4" customWidth="1"/>
    <col min="12035" max="12035" width="12.140625" style="4" bestFit="1" customWidth="1"/>
    <col min="12036" max="12036" width="8.140625" style="4" customWidth="1"/>
    <col min="12037" max="12037" width="8.5703125" style="4" customWidth="1"/>
    <col min="12038" max="12038" width="17" style="4" bestFit="1" customWidth="1"/>
    <col min="12039" max="12039" width="16.7109375" style="4" bestFit="1" customWidth="1"/>
    <col min="12040" max="12040" width="18" style="4" bestFit="1" customWidth="1"/>
    <col min="12041" max="12041" width="17.7109375" style="4" bestFit="1" customWidth="1"/>
    <col min="12042" max="12042" width="15.7109375" style="4" customWidth="1"/>
    <col min="12043" max="12043" width="16.28515625" style="4" customWidth="1"/>
    <col min="12044" max="12044" width="15.140625" style="4" customWidth="1"/>
    <col min="12045" max="12045" width="14.28515625" style="4" customWidth="1"/>
    <col min="12046" max="12046" width="14.5703125" style="4" bestFit="1" customWidth="1"/>
    <col min="12047" max="12288" width="11.42578125" style="4"/>
    <col min="12289" max="12289" width="2.5703125" style="4" customWidth="1"/>
    <col min="12290" max="12290" width="22.42578125" style="4" customWidth="1"/>
    <col min="12291" max="12291" width="12.140625" style="4" bestFit="1" customWidth="1"/>
    <col min="12292" max="12292" width="8.140625" style="4" customWidth="1"/>
    <col min="12293" max="12293" width="8.5703125" style="4" customWidth="1"/>
    <col min="12294" max="12294" width="17" style="4" bestFit="1" customWidth="1"/>
    <col min="12295" max="12295" width="16.7109375" style="4" bestFit="1" customWidth="1"/>
    <col min="12296" max="12296" width="18" style="4" bestFit="1" customWidth="1"/>
    <col min="12297" max="12297" width="17.7109375" style="4" bestFit="1" customWidth="1"/>
    <col min="12298" max="12298" width="15.7109375" style="4" customWidth="1"/>
    <col min="12299" max="12299" width="16.28515625" style="4" customWidth="1"/>
    <col min="12300" max="12300" width="15.140625" style="4" customWidth="1"/>
    <col min="12301" max="12301" width="14.28515625" style="4" customWidth="1"/>
    <col min="12302" max="12302" width="14.5703125" style="4" bestFit="1" customWidth="1"/>
    <col min="12303" max="12544" width="11.42578125" style="4"/>
    <col min="12545" max="12545" width="2.5703125" style="4" customWidth="1"/>
    <col min="12546" max="12546" width="22.42578125" style="4" customWidth="1"/>
    <col min="12547" max="12547" width="12.140625" style="4" bestFit="1" customWidth="1"/>
    <col min="12548" max="12548" width="8.140625" style="4" customWidth="1"/>
    <col min="12549" max="12549" width="8.5703125" style="4" customWidth="1"/>
    <col min="12550" max="12550" width="17" style="4" bestFit="1" customWidth="1"/>
    <col min="12551" max="12551" width="16.7109375" style="4" bestFit="1" customWidth="1"/>
    <col min="12552" max="12552" width="18" style="4" bestFit="1" customWidth="1"/>
    <col min="12553" max="12553" width="17.7109375" style="4" bestFit="1" customWidth="1"/>
    <col min="12554" max="12554" width="15.7109375" style="4" customWidth="1"/>
    <col min="12555" max="12555" width="16.28515625" style="4" customWidth="1"/>
    <col min="12556" max="12556" width="15.140625" style="4" customWidth="1"/>
    <col min="12557" max="12557" width="14.28515625" style="4" customWidth="1"/>
    <col min="12558" max="12558" width="14.5703125" style="4" bestFit="1" customWidth="1"/>
    <col min="12559" max="12800" width="11.42578125" style="4"/>
    <col min="12801" max="12801" width="2.5703125" style="4" customWidth="1"/>
    <col min="12802" max="12802" width="22.42578125" style="4" customWidth="1"/>
    <col min="12803" max="12803" width="12.140625" style="4" bestFit="1" customWidth="1"/>
    <col min="12804" max="12804" width="8.140625" style="4" customWidth="1"/>
    <col min="12805" max="12805" width="8.5703125" style="4" customWidth="1"/>
    <col min="12806" max="12806" width="17" style="4" bestFit="1" customWidth="1"/>
    <col min="12807" max="12807" width="16.7109375" style="4" bestFit="1" customWidth="1"/>
    <col min="12808" max="12808" width="18" style="4" bestFit="1" customWidth="1"/>
    <col min="12809" max="12809" width="17.7109375" style="4" bestFit="1" customWidth="1"/>
    <col min="12810" max="12810" width="15.7109375" style="4" customWidth="1"/>
    <col min="12811" max="12811" width="16.28515625" style="4" customWidth="1"/>
    <col min="12812" max="12812" width="15.140625" style="4" customWidth="1"/>
    <col min="12813" max="12813" width="14.28515625" style="4" customWidth="1"/>
    <col min="12814" max="12814" width="14.5703125" style="4" bestFit="1" customWidth="1"/>
    <col min="12815" max="13056" width="11.42578125" style="4"/>
    <col min="13057" max="13057" width="2.5703125" style="4" customWidth="1"/>
    <col min="13058" max="13058" width="22.42578125" style="4" customWidth="1"/>
    <col min="13059" max="13059" width="12.140625" style="4" bestFit="1" customWidth="1"/>
    <col min="13060" max="13060" width="8.140625" style="4" customWidth="1"/>
    <col min="13061" max="13061" width="8.5703125" style="4" customWidth="1"/>
    <col min="13062" max="13062" width="17" style="4" bestFit="1" customWidth="1"/>
    <col min="13063" max="13063" width="16.7109375" style="4" bestFit="1" customWidth="1"/>
    <col min="13064" max="13064" width="18" style="4" bestFit="1" customWidth="1"/>
    <col min="13065" max="13065" width="17.7109375" style="4" bestFit="1" customWidth="1"/>
    <col min="13066" max="13066" width="15.7109375" style="4" customWidth="1"/>
    <col min="13067" max="13067" width="16.28515625" style="4" customWidth="1"/>
    <col min="13068" max="13068" width="15.140625" style="4" customWidth="1"/>
    <col min="13069" max="13069" width="14.28515625" style="4" customWidth="1"/>
    <col min="13070" max="13070" width="14.5703125" style="4" bestFit="1" customWidth="1"/>
    <col min="13071" max="13312" width="11.42578125" style="4"/>
    <col min="13313" max="13313" width="2.5703125" style="4" customWidth="1"/>
    <col min="13314" max="13314" width="22.42578125" style="4" customWidth="1"/>
    <col min="13315" max="13315" width="12.140625" style="4" bestFit="1" customWidth="1"/>
    <col min="13316" max="13316" width="8.140625" style="4" customWidth="1"/>
    <col min="13317" max="13317" width="8.5703125" style="4" customWidth="1"/>
    <col min="13318" max="13318" width="17" style="4" bestFit="1" customWidth="1"/>
    <col min="13319" max="13319" width="16.7109375" style="4" bestFit="1" customWidth="1"/>
    <col min="13320" max="13320" width="18" style="4" bestFit="1" customWidth="1"/>
    <col min="13321" max="13321" width="17.7109375" style="4" bestFit="1" customWidth="1"/>
    <col min="13322" max="13322" width="15.7109375" style="4" customWidth="1"/>
    <col min="13323" max="13323" width="16.28515625" style="4" customWidth="1"/>
    <col min="13324" max="13324" width="15.140625" style="4" customWidth="1"/>
    <col min="13325" max="13325" width="14.28515625" style="4" customWidth="1"/>
    <col min="13326" max="13326" width="14.5703125" style="4" bestFit="1" customWidth="1"/>
    <col min="13327" max="13568" width="11.42578125" style="4"/>
    <col min="13569" max="13569" width="2.5703125" style="4" customWidth="1"/>
    <col min="13570" max="13570" width="22.42578125" style="4" customWidth="1"/>
    <col min="13571" max="13571" width="12.140625" style="4" bestFit="1" customWidth="1"/>
    <col min="13572" max="13572" width="8.140625" style="4" customWidth="1"/>
    <col min="13573" max="13573" width="8.5703125" style="4" customWidth="1"/>
    <col min="13574" max="13574" width="17" style="4" bestFit="1" customWidth="1"/>
    <col min="13575" max="13575" width="16.7109375" style="4" bestFit="1" customWidth="1"/>
    <col min="13576" max="13576" width="18" style="4" bestFit="1" customWidth="1"/>
    <col min="13577" max="13577" width="17.7109375" style="4" bestFit="1" customWidth="1"/>
    <col min="13578" max="13578" width="15.7109375" style="4" customWidth="1"/>
    <col min="13579" max="13579" width="16.28515625" style="4" customWidth="1"/>
    <col min="13580" max="13580" width="15.140625" style="4" customWidth="1"/>
    <col min="13581" max="13581" width="14.28515625" style="4" customWidth="1"/>
    <col min="13582" max="13582" width="14.5703125" style="4" bestFit="1" customWidth="1"/>
    <col min="13583" max="13824" width="11.42578125" style="4"/>
    <col min="13825" max="13825" width="2.5703125" style="4" customWidth="1"/>
    <col min="13826" max="13826" width="22.42578125" style="4" customWidth="1"/>
    <col min="13827" max="13827" width="12.140625" style="4" bestFit="1" customWidth="1"/>
    <col min="13828" max="13828" width="8.140625" style="4" customWidth="1"/>
    <col min="13829" max="13829" width="8.5703125" style="4" customWidth="1"/>
    <col min="13830" max="13830" width="17" style="4" bestFit="1" customWidth="1"/>
    <col min="13831" max="13831" width="16.7109375" style="4" bestFit="1" customWidth="1"/>
    <col min="13832" max="13832" width="18" style="4" bestFit="1" customWidth="1"/>
    <col min="13833" max="13833" width="17.7109375" style="4" bestFit="1" customWidth="1"/>
    <col min="13834" max="13834" width="15.7109375" style="4" customWidth="1"/>
    <col min="13835" max="13835" width="16.28515625" style="4" customWidth="1"/>
    <col min="13836" max="13836" width="15.140625" style="4" customWidth="1"/>
    <col min="13837" max="13837" width="14.28515625" style="4" customWidth="1"/>
    <col min="13838" max="13838" width="14.5703125" style="4" bestFit="1" customWidth="1"/>
    <col min="13839" max="14080" width="11.42578125" style="4"/>
    <col min="14081" max="14081" width="2.5703125" style="4" customWidth="1"/>
    <col min="14082" max="14082" width="22.42578125" style="4" customWidth="1"/>
    <col min="14083" max="14083" width="12.140625" style="4" bestFit="1" customWidth="1"/>
    <col min="14084" max="14084" width="8.140625" style="4" customWidth="1"/>
    <col min="14085" max="14085" width="8.5703125" style="4" customWidth="1"/>
    <col min="14086" max="14086" width="17" style="4" bestFit="1" customWidth="1"/>
    <col min="14087" max="14087" width="16.7109375" style="4" bestFit="1" customWidth="1"/>
    <col min="14088" max="14088" width="18" style="4" bestFit="1" customWidth="1"/>
    <col min="14089" max="14089" width="17.7109375" style="4" bestFit="1" customWidth="1"/>
    <col min="14090" max="14090" width="15.7109375" style="4" customWidth="1"/>
    <col min="14091" max="14091" width="16.28515625" style="4" customWidth="1"/>
    <col min="14092" max="14092" width="15.140625" style="4" customWidth="1"/>
    <col min="14093" max="14093" width="14.28515625" style="4" customWidth="1"/>
    <col min="14094" max="14094" width="14.5703125" style="4" bestFit="1" customWidth="1"/>
    <col min="14095" max="14336" width="11.42578125" style="4"/>
    <col min="14337" max="14337" width="2.5703125" style="4" customWidth="1"/>
    <col min="14338" max="14338" width="22.42578125" style="4" customWidth="1"/>
    <col min="14339" max="14339" width="12.140625" style="4" bestFit="1" customWidth="1"/>
    <col min="14340" max="14340" width="8.140625" style="4" customWidth="1"/>
    <col min="14341" max="14341" width="8.5703125" style="4" customWidth="1"/>
    <col min="14342" max="14342" width="17" style="4" bestFit="1" customWidth="1"/>
    <col min="14343" max="14343" width="16.7109375" style="4" bestFit="1" customWidth="1"/>
    <col min="14344" max="14344" width="18" style="4" bestFit="1" customWidth="1"/>
    <col min="14345" max="14345" width="17.7109375" style="4" bestFit="1" customWidth="1"/>
    <col min="14346" max="14346" width="15.7109375" style="4" customWidth="1"/>
    <col min="14347" max="14347" width="16.28515625" style="4" customWidth="1"/>
    <col min="14348" max="14348" width="15.140625" style="4" customWidth="1"/>
    <col min="14349" max="14349" width="14.28515625" style="4" customWidth="1"/>
    <col min="14350" max="14350" width="14.5703125" style="4" bestFit="1" customWidth="1"/>
    <col min="14351" max="14592" width="11.42578125" style="4"/>
    <col min="14593" max="14593" width="2.5703125" style="4" customWidth="1"/>
    <col min="14594" max="14594" width="22.42578125" style="4" customWidth="1"/>
    <col min="14595" max="14595" width="12.140625" style="4" bestFit="1" customWidth="1"/>
    <col min="14596" max="14596" width="8.140625" style="4" customWidth="1"/>
    <col min="14597" max="14597" width="8.5703125" style="4" customWidth="1"/>
    <col min="14598" max="14598" width="17" style="4" bestFit="1" customWidth="1"/>
    <col min="14599" max="14599" width="16.7109375" style="4" bestFit="1" customWidth="1"/>
    <col min="14600" max="14600" width="18" style="4" bestFit="1" customWidth="1"/>
    <col min="14601" max="14601" width="17.7109375" style="4" bestFit="1" customWidth="1"/>
    <col min="14602" max="14602" width="15.7109375" style="4" customWidth="1"/>
    <col min="14603" max="14603" width="16.28515625" style="4" customWidth="1"/>
    <col min="14604" max="14604" width="15.140625" style="4" customWidth="1"/>
    <col min="14605" max="14605" width="14.28515625" style="4" customWidth="1"/>
    <col min="14606" max="14606" width="14.5703125" style="4" bestFit="1" customWidth="1"/>
    <col min="14607" max="14848" width="11.42578125" style="4"/>
    <col min="14849" max="14849" width="2.5703125" style="4" customWidth="1"/>
    <col min="14850" max="14850" width="22.42578125" style="4" customWidth="1"/>
    <col min="14851" max="14851" width="12.140625" style="4" bestFit="1" customWidth="1"/>
    <col min="14852" max="14852" width="8.140625" style="4" customWidth="1"/>
    <col min="14853" max="14853" width="8.5703125" style="4" customWidth="1"/>
    <col min="14854" max="14854" width="17" style="4" bestFit="1" customWidth="1"/>
    <col min="14855" max="14855" width="16.7109375" style="4" bestFit="1" customWidth="1"/>
    <col min="14856" max="14856" width="18" style="4" bestFit="1" customWidth="1"/>
    <col min="14857" max="14857" width="17.7109375" style="4" bestFit="1" customWidth="1"/>
    <col min="14858" max="14858" width="15.7109375" style="4" customWidth="1"/>
    <col min="14859" max="14859" width="16.28515625" style="4" customWidth="1"/>
    <col min="14860" max="14860" width="15.140625" style="4" customWidth="1"/>
    <col min="14861" max="14861" width="14.28515625" style="4" customWidth="1"/>
    <col min="14862" max="14862" width="14.5703125" style="4" bestFit="1" customWidth="1"/>
    <col min="14863" max="15104" width="11.42578125" style="4"/>
    <col min="15105" max="15105" width="2.5703125" style="4" customWidth="1"/>
    <col min="15106" max="15106" width="22.42578125" style="4" customWidth="1"/>
    <col min="15107" max="15107" width="12.140625" style="4" bestFit="1" customWidth="1"/>
    <col min="15108" max="15108" width="8.140625" style="4" customWidth="1"/>
    <col min="15109" max="15109" width="8.5703125" style="4" customWidth="1"/>
    <col min="15110" max="15110" width="17" style="4" bestFit="1" customWidth="1"/>
    <col min="15111" max="15111" width="16.7109375" style="4" bestFit="1" customWidth="1"/>
    <col min="15112" max="15112" width="18" style="4" bestFit="1" customWidth="1"/>
    <col min="15113" max="15113" width="17.7109375" style="4" bestFit="1" customWidth="1"/>
    <col min="15114" max="15114" width="15.7109375" style="4" customWidth="1"/>
    <col min="15115" max="15115" width="16.28515625" style="4" customWidth="1"/>
    <col min="15116" max="15116" width="15.140625" style="4" customWidth="1"/>
    <col min="15117" max="15117" width="14.28515625" style="4" customWidth="1"/>
    <col min="15118" max="15118" width="14.5703125" style="4" bestFit="1" customWidth="1"/>
    <col min="15119" max="15360" width="11.42578125" style="4"/>
    <col min="15361" max="15361" width="2.5703125" style="4" customWidth="1"/>
    <col min="15362" max="15362" width="22.42578125" style="4" customWidth="1"/>
    <col min="15363" max="15363" width="12.140625" style="4" bestFit="1" customWidth="1"/>
    <col min="15364" max="15364" width="8.140625" style="4" customWidth="1"/>
    <col min="15365" max="15365" width="8.5703125" style="4" customWidth="1"/>
    <col min="15366" max="15366" width="17" style="4" bestFit="1" customWidth="1"/>
    <col min="15367" max="15367" width="16.7109375" style="4" bestFit="1" customWidth="1"/>
    <col min="15368" max="15368" width="18" style="4" bestFit="1" customWidth="1"/>
    <col min="15369" max="15369" width="17.7109375" style="4" bestFit="1" customWidth="1"/>
    <col min="15370" max="15370" width="15.7109375" style="4" customWidth="1"/>
    <col min="15371" max="15371" width="16.28515625" style="4" customWidth="1"/>
    <col min="15372" max="15372" width="15.140625" style="4" customWidth="1"/>
    <col min="15373" max="15373" width="14.28515625" style="4" customWidth="1"/>
    <col min="15374" max="15374" width="14.5703125" style="4" bestFit="1" customWidth="1"/>
    <col min="15375" max="15616" width="11.42578125" style="4"/>
    <col min="15617" max="15617" width="2.5703125" style="4" customWidth="1"/>
    <col min="15618" max="15618" width="22.42578125" style="4" customWidth="1"/>
    <col min="15619" max="15619" width="12.140625" style="4" bestFit="1" customWidth="1"/>
    <col min="15620" max="15620" width="8.140625" style="4" customWidth="1"/>
    <col min="15621" max="15621" width="8.5703125" style="4" customWidth="1"/>
    <col min="15622" max="15622" width="17" style="4" bestFit="1" customWidth="1"/>
    <col min="15623" max="15623" width="16.7109375" style="4" bestFit="1" customWidth="1"/>
    <col min="15624" max="15624" width="18" style="4" bestFit="1" customWidth="1"/>
    <col min="15625" max="15625" width="17.7109375" style="4" bestFit="1" customWidth="1"/>
    <col min="15626" max="15626" width="15.7109375" style="4" customWidth="1"/>
    <col min="15627" max="15627" width="16.28515625" style="4" customWidth="1"/>
    <col min="15628" max="15628" width="15.140625" style="4" customWidth="1"/>
    <col min="15629" max="15629" width="14.28515625" style="4" customWidth="1"/>
    <col min="15630" max="15630" width="14.5703125" style="4" bestFit="1" customWidth="1"/>
    <col min="15631" max="15872" width="11.42578125" style="4"/>
    <col min="15873" max="15873" width="2.5703125" style="4" customWidth="1"/>
    <col min="15874" max="15874" width="22.42578125" style="4" customWidth="1"/>
    <col min="15875" max="15875" width="12.140625" style="4" bestFit="1" customWidth="1"/>
    <col min="15876" max="15876" width="8.140625" style="4" customWidth="1"/>
    <col min="15877" max="15877" width="8.5703125" style="4" customWidth="1"/>
    <col min="15878" max="15878" width="17" style="4" bestFit="1" customWidth="1"/>
    <col min="15879" max="15879" width="16.7109375" style="4" bestFit="1" customWidth="1"/>
    <col min="15880" max="15880" width="18" style="4" bestFit="1" customWidth="1"/>
    <col min="15881" max="15881" width="17.7109375" style="4" bestFit="1" customWidth="1"/>
    <col min="15882" max="15882" width="15.7109375" style="4" customWidth="1"/>
    <col min="15883" max="15883" width="16.28515625" style="4" customWidth="1"/>
    <col min="15884" max="15884" width="15.140625" style="4" customWidth="1"/>
    <col min="15885" max="15885" width="14.28515625" style="4" customWidth="1"/>
    <col min="15886" max="15886" width="14.5703125" style="4" bestFit="1" customWidth="1"/>
    <col min="15887" max="16128" width="11.42578125" style="4"/>
    <col min="16129" max="16129" width="2.5703125" style="4" customWidth="1"/>
    <col min="16130" max="16130" width="22.42578125" style="4" customWidth="1"/>
    <col min="16131" max="16131" width="12.140625" style="4" bestFit="1" customWidth="1"/>
    <col min="16132" max="16132" width="8.140625" style="4" customWidth="1"/>
    <col min="16133" max="16133" width="8.5703125" style="4" customWidth="1"/>
    <col min="16134" max="16134" width="17" style="4" bestFit="1" customWidth="1"/>
    <col min="16135" max="16135" width="16.7109375" style="4" bestFit="1" customWidth="1"/>
    <col min="16136" max="16136" width="18" style="4" bestFit="1" customWidth="1"/>
    <col min="16137" max="16137" width="17.7109375" style="4" bestFit="1" customWidth="1"/>
    <col min="16138" max="16138" width="15.7109375" style="4" customWidth="1"/>
    <col min="16139" max="16139" width="16.28515625" style="4" customWidth="1"/>
    <col min="16140" max="16140" width="15.140625" style="4" customWidth="1"/>
    <col min="16141" max="16141" width="14.28515625" style="4" customWidth="1"/>
    <col min="16142" max="16142" width="14.5703125" style="4" bestFit="1" customWidth="1"/>
    <col min="16143" max="16384" width="11.42578125" style="4"/>
  </cols>
  <sheetData>
    <row r="1" spans="1:14" x14ac:dyDescent="0.2">
      <c r="A1" s="1" t="s">
        <v>0</v>
      </c>
      <c r="B1" s="1"/>
      <c r="C1" s="2"/>
      <c r="D1" s="2"/>
      <c r="E1" s="3"/>
    </row>
    <row r="2" spans="1:14" x14ac:dyDescent="0.2">
      <c r="A2" s="5" t="s">
        <v>1</v>
      </c>
      <c r="B2" s="5"/>
      <c r="C2" s="2"/>
      <c r="D2" s="2"/>
    </row>
    <row r="3" spans="1:14" x14ac:dyDescent="0.2">
      <c r="A3" s="6" t="s">
        <v>93</v>
      </c>
      <c r="B3" s="5"/>
      <c r="C3" s="2"/>
      <c r="D3" s="2"/>
      <c r="M3" s="7"/>
    </row>
    <row r="4" spans="1:14" x14ac:dyDescent="0.2">
      <c r="A4" s="8" t="s">
        <v>3</v>
      </c>
      <c r="B4" s="8"/>
      <c r="C4" s="9" t="s">
        <v>4</v>
      </c>
      <c r="D4" s="71" t="s">
        <v>5</v>
      </c>
      <c r="E4" s="71"/>
      <c r="F4" s="9" t="s">
        <v>6</v>
      </c>
      <c r="G4" s="10" t="s">
        <v>7</v>
      </c>
      <c r="H4" s="10" t="s">
        <v>8</v>
      </c>
      <c r="I4" s="9" t="s">
        <v>9</v>
      </c>
      <c r="J4" s="9" t="s">
        <v>10</v>
      </c>
      <c r="K4" s="9" t="s">
        <v>10</v>
      </c>
      <c r="L4" s="9" t="s">
        <v>10</v>
      </c>
      <c r="M4" s="9" t="s">
        <v>10</v>
      </c>
      <c r="N4" s="3"/>
    </row>
    <row r="5" spans="1:14" x14ac:dyDescent="0.2">
      <c r="C5" s="11" t="s">
        <v>12</v>
      </c>
      <c r="D5" s="12" t="s">
        <v>13</v>
      </c>
      <c r="E5" s="12" t="s">
        <v>14</v>
      </c>
      <c r="F5" s="11" t="s">
        <v>15</v>
      </c>
      <c r="G5" s="11" t="s">
        <v>16</v>
      </c>
      <c r="H5" s="12" t="s">
        <v>17</v>
      </c>
      <c r="I5" s="12" t="s">
        <v>18</v>
      </c>
      <c r="J5" s="12" t="s">
        <v>19</v>
      </c>
      <c r="K5" s="12" t="s">
        <v>20</v>
      </c>
      <c r="L5" s="13" t="s">
        <v>21</v>
      </c>
      <c r="M5" s="14" t="s">
        <v>22</v>
      </c>
      <c r="N5" s="3"/>
    </row>
    <row r="6" spans="1:14" x14ac:dyDescent="0.2">
      <c r="A6" s="7"/>
      <c r="B6" s="7"/>
      <c r="C6" s="7"/>
      <c r="D6" s="7"/>
      <c r="E6" s="7"/>
      <c r="F6" s="15" t="s">
        <v>24</v>
      </c>
      <c r="G6" s="16" t="s">
        <v>12</v>
      </c>
      <c r="H6" s="15" t="s">
        <v>24</v>
      </c>
      <c r="I6" s="17"/>
      <c r="J6" s="7"/>
      <c r="K6" s="7"/>
      <c r="L6" s="7"/>
      <c r="M6" s="7"/>
    </row>
    <row r="7" spans="1:14" x14ac:dyDescent="0.2">
      <c r="F7" s="11"/>
      <c r="G7" s="18"/>
      <c r="H7" s="11"/>
      <c r="I7" s="12"/>
    </row>
    <row r="8" spans="1:14" x14ac:dyDescent="0.2">
      <c r="A8" s="72" t="s">
        <v>25</v>
      </c>
      <c r="B8" s="72"/>
      <c r="C8" s="4">
        <v>1822417</v>
      </c>
      <c r="D8" s="19">
        <v>0.36</v>
      </c>
      <c r="E8" s="19">
        <v>0.28999999999999998</v>
      </c>
      <c r="F8" s="4">
        <v>1822417</v>
      </c>
      <c r="G8" s="4">
        <f t="shared" ref="G8:G33" si="0">+J8+K8+L8+M8</f>
        <v>2139391</v>
      </c>
      <c r="H8" s="20">
        <f t="shared" ref="H8:H34" si="1">G8-F8</f>
        <v>316974</v>
      </c>
      <c r="I8" s="4">
        <v>0</v>
      </c>
      <c r="J8" s="4">
        <v>0</v>
      </c>
      <c r="K8" s="4">
        <v>166313</v>
      </c>
      <c r="L8" s="4">
        <v>0</v>
      </c>
      <c r="M8" s="4">
        <v>1973078</v>
      </c>
    </row>
    <row r="9" spans="1:14" x14ac:dyDescent="0.2">
      <c r="A9" s="72" t="s">
        <v>26</v>
      </c>
      <c r="B9" s="72"/>
      <c r="C9" s="4">
        <v>1656104</v>
      </c>
      <c r="D9" s="19">
        <v>0.48</v>
      </c>
      <c r="E9" s="19">
        <v>0.48</v>
      </c>
      <c r="F9" s="4">
        <v>1656104</v>
      </c>
      <c r="G9" s="4">
        <f t="shared" si="0"/>
        <v>2429777</v>
      </c>
      <c r="H9" s="20">
        <f>G9-F9</f>
        <v>773673</v>
      </c>
      <c r="I9" s="4">
        <v>9919</v>
      </c>
      <c r="J9" s="4">
        <v>0</v>
      </c>
      <c r="K9" s="4">
        <v>0</v>
      </c>
      <c r="L9" s="4">
        <v>0</v>
      </c>
      <c r="M9" s="4">
        <v>2429777</v>
      </c>
    </row>
    <row r="10" spans="1:14" s="20" customFormat="1" x14ac:dyDescent="0.2">
      <c r="A10" s="21" t="s">
        <v>28</v>
      </c>
      <c r="B10" s="21"/>
      <c r="C10" s="4">
        <v>4801694</v>
      </c>
      <c r="D10" s="19">
        <v>2.31</v>
      </c>
      <c r="E10" s="19">
        <v>0.6</v>
      </c>
      <c r="F10" s="4">
        <v>18972981</v>
      </c>
      <c r="G10" s="20">
        <f t="shared" si="0"/>
        <v>23255176</v>
      </c>
      <c r="H10" s="20">
        <f t="shared" si="1"/>
        <v>4282195</v>
      </c>
      <c r="I10" s="4">
        <v>923265</v>
      </c>
      <c r="J10" s="4">
        <v>0</v>
      </c>
      <c r="K10" s="4">
        <f>1910435+11839907+8051+495865</f>
        <v>14254258</v>
      </c>
      <c r="L10" s="4">
        <v>0</v>
      </c>
      <c r="M10" s="4">
        <v>9000918</v>
      </c>
      <c r="N10" s="4"/>
    </row>
    <row r="11" spans="1:14" x14ac:dyDescent="0.2">
      <c r="A11" s="21" t="s">
        <v>29</v>
      </c>
      <c r="B11" s="21"/>
      <c r="C11" s="4">
        <v>7082633</v>
      </c>
      <c r="D11" s="19">
        <v>6.51</v>
      </c>
      <c r="E11" s="19">
        <v>0.18</v>
      </c>
      <c r="F11" s="4">
        <v>113532935</v>
      </c>
      <c r="G11" s="20">
        <f t="shared" si="0"/>
        <v>124252630</v>
      </c>
      <c r="H11" s="20">
        <f>G11-F11</f>
        <v>10719695</v>
      </c>
      <c r="I11" s="4">
        <v>976789</v>
      </c>
      <c r="J11" s="4">
        <v>101733978</v>
      </c>
      <c r="K11" s="4">
        <f>462252+4254052</f>
        <v>4716304</v>
      </c>
      <c r="L11" s="4">
        <v>0</v>
      </c>
      <c r="M11" s="4">
        <v>17802348</v>
      </c>
    </row>
    <row r="12" spans="1:14" x14ac:dyDescent="0.2">
      <c r="A12" s="21" t="s">
        <v>31</v>
      </c>
      <c r="B12" s="21"/>
      <c r="C12" s="4">
        <v>81718283</v>
      </c>
      <c r="D12" s="19">
        <v>9.2899999999999991</v>
      </c>
      <c r="E12" s="19">
        <v>0.55000000000000004</v>
      </c>
      <c r="F12" s="4">
        <v>1333628400</v>
      </c>
      <c r="G12" s="20">
        <f t="shared" si="0"/>
        <v>1356666297</v>
      </c>
      <c r="H12" s="20">
        <f>G12-F12</f>
        <v>23037897</v>
      </c>
      <c r="I12" s="4">
        <v>43713741</v>
      </c>
      <c r="J12" s="4">
        <v>1208612602</v>
      </c>
      <c r="K12" s="4">
        <f>3260618+30883542+10917860</f>
        <v>45062020</v>
      </c>
      <c r="L12" s="4">
        <v>5194</v>
      </c>
      <c r="M12" s="4">
        <v>102986481</v>
      </c>
    </row>
    <row r="13" spans="1:14" x14ac:dyDescent="0.2">
      <c r="A13" s="73" t="s">
        <v>30</v>
      </c>
      <c r="B13" s="74"/>
      <c r="C13" s="4">
        <v>5539376</v>
      </c>
      <c r="D13" s="19">
        <v>4.5599999999999996</v>
      </c>
      <c r="E13" s="19">
        <v>0.35</v>
      </c>
      <c r="F13" s="4">
        <v>51552257</v>
      </c>
      <c r="G13" s="4">
        <f t="shared" si="0"/>
        <v>56571801</v>
      </c>
      <c r="H13" s="20">
        <f t="shared" si="1"/>
        <v>5019544</v>
      </c>
      <c r="I13" s="4">
        <v>232152</v>
      </c>
      <c r="J13" s="4">
        <v>24821729</v>
      </c>
      <c r="K13" s="4">
        <f>2496269+9110536+556422+9188076</f>
        <v>21351303</v>
      </c>
      <c r="L13" s="4">
        <v>0</v>
      </c>
      <c r="M13" s="4">
        <v>10398769</v>
      </c>
    </row>
    <row r="14" spans="1:14" s="20" customFormat="1" x14ac:dyDescent="0.2">
      <c r="A14" s="21" t="s">
        <v>32</v>
      </c>
      <c r="B14" s="6"/>
      <c r="C14" s="4">
        <v>8981718</v>
      </c>
      <c r="D14" s="19">
        <v>2.58</v>
      </c>
      <c r="E14" s="19">
        <v>0.77</v>
      </c>
      <c r="F14" s="4">
        <v>30309405</v>
      </c>
      <c r="G14" s="20">
        <f t="shared" si="0"/>
        <v>30792802</v>
      </c>
      <c r="H14" s="20">
        <f t="shared" si="1"/>
        <v>483397</v>
      </c>
      <c r="I14" s="4">
        <v>281025</v>
      </c>
      <c r="J14" s="4">
        <v>0</v>
      </c>
      <c r="K14" s="4">
        <f>2152451+19175236</f>
        <v>21327687</v>
      </c>
      <c r="L14" s="4">
        <v>0</v>
      </c>
      <c r="M14" s="4">
        <v>9465115</v>
      </c>
    </row>
    <row r="15" spans="1:14" x14ac:dyDescent="0.2">
      <c r="A15" s="21" t="s">
        <v>33</v>
      </c>
      <c r="B15" s="6"/>
      <c r="C15" s="4">
        <v>41062042</v>
      </c>
      <c r="D15" s="19">
        <v>8.2200000000000006</v>
      </c>
      <c r="E15" s="19">
        <v>0.41</v>
      </c>
      <c r="F15" s="4">
        <v>673328336</v>
      </c>
      <c r="G15" s="4">
        <f t="shared" si="0"/>
        <v>705302941</v>
      </c>
      <c r="H15" s="20">
        <f t="shared" si="1"/>
        <v>31974605</v>
      </c>
      <c r="I15" s="4">
        <v>5562543</v>
      </c>
      <c r="J15" s="4">
        <v>547527679</v>
      </c>
      <c r="K15" s="4">
        <f>9801107+32238674+5434182+34930319</f>
        <v>82404282</v>
      </c>
      <c r="L15" s="4">
        <v>2644484</v>
      </c>
      <c r="M15" s="4">
        <v>72726496</v>
      </c>
    </row>
    <row r="16" spans="1:14" s="23" customFormat="1" x14ac:dyDescent="0.2">
      <c r="A16" s="21" t="s">
        <v>34</v>
      </c>
      <c r="B16" s="21"/>
      <c r="C16" s="20">
        <v>6448890</v>
      </c>
      <c r="D16" s="22">
        <v>4.76</v>
      </c>
      <c r="E16" s="22">
        <v>0.09</v>
      </c>
      <c r="F16" s="20">
        <v>94670128</v>
      </c>
      <c r="G16" s="20">
        <f t="shared" si="0"/>
        <v>106980829</v>
      </c>
      <c r="H16" s="20">
        <f t="shared" si="1"/>
        <v>12310701</v>
      </c>
      <c r="I16" s="20">
        <v>139218</v>
      </c>
      <c r="J16" s="20">
        <v>85209046</v>
      </c>
      <c r="K16" s="20">
        <f>1284059+820060+1007618</f>
        <v>3111737</v>
      </c>
      <c r="L16" s="20">
        <v>0</v>
      </c>
      <c r="M16" s="20">
        <v>18660046</v>
      </c>
      <c r="N16" s="20"/>
    </row>
    <row r="17" spans="1:14" s="23" customFormat="1" x14ac:dyDescent="0.2">
      <c r="A17" s="21" t="s">
        <v>94</v>
      </c>
      <c r="B17" s="21"/>
      <c r="C17" s="20">
        <v>1656104</v>
      </c>
      <c r="D17" s="22">
        <v>0.11</v>
      </c>
      <c r="E17" s="22">
        <v>0.11</v>
      </c>
      <c r="F17" s="20">
        <v>1656104</v>
      </c>
      <c r="G17" s="4">
        <f t="shared" si="0"/>
        <v>1709950</v>
      </c>
      <c r="H17" s="20">
        <f>G17-F17</f>
        <v>53846</v>
      </c>
      <c r="I17" s="20">
        <v>355</v>
      </c>
      <c r="J17" s="20">
        <v>0</v>
      </c>
      <c r="K17" s="20">
        <v>0</v>
      </c>
      <c r="L17" s="20">
        <v>0</v>
      </c>
      <c r="M17" s="20">
        <v>1709950</v>
      </c>
      <c r="N17" s="4"/>
    </row>
    <row r="18" spans="1:14" x14ac:dyDescent="0.2">
      <c r="A18" s="21" t="s">
        <v>35</v>
      </c>
      <c r="B18" s="6"/>
      <c r="C18" s="4">
        <v>17072677</v>
      </c>
      <c r="D18" s="19">
        <v>6.07</v>
      </c>
      <c r="E18" s="19">
        <v>0.21</v>
      </c>
      <c r="F18" s="4">
        <v>297131132</v>
      </c>
      <c r="G18" s="4">
        <f t="shared" si="0"/>
        <v>324014868</v>
      </c>
      <c r="H18" s="20">
        <f t="shared" si="1"/>
        <v>26883736</v>
      </c>
      <c r="I18" s="4">
        <v>1000420</v>
      </c>
      <c r="J18" s="4">
        <v>277959926</v>
      </c>
      <c r="K18" s="4">
        <f>37585+2060944</f>
        <v>2098529</v>
      </c>
      <c r="L18" s="4">
        <v>0</v>
      </c>
      <c r="M18" s="4">
        <v>43956413</v>
      </c>
    </row>
    <row r="19" spans="1:14" x14ac:dyDescent="0.2">
      <c r="A19" s="21" t="s">
        <v>36</v>
      </c>
      <c r="B19" s="21"/>
      <c r="C19" s="4">
        <v>111895628</v>
      </c>
      <c r="D19" s="19">
        <v>7.19</v>
      </c>
      <c r="E19" s="19">
        <v>0.47</v>
      </c>
      <c r="F19" s="4">
        <v>1788962968</v>
      </c>
      <c r="G19" s="4">
        <f t="shared" si="0"/>
        <v>1899662562</v>
      </c>
      <c r="H19" s="20">
        <f t="shared" si="1"/>
        <v>110699594</v>
      </c>
      <c r="I19" s="4">
        <v>30696545</v>
      </c>
      <c r="J19" s="4">
        <v>1543772812</v>
      </c>
      <c r="K19" s="4">
        <f>2033138+44624440+23246356+54290693</f>
        <v>124194627</v>
      </c>
      <c r="L19" s="4">
        <v>507421</v>
      </c>
      <c r="M19" s="4">
        <v>231187702</v>
      </c>
    </row>
    <row r="20" spans="1:14" x14ac:dyDescent="0.2">
      <c r="A20" s="21" t="s">
        <v>37</v>
      </c>
      <c r="B20" s="21"/>
      <c r="C20" s="4">
        <v>20732605</v>
      </c>
      <c r="D20" s="19">
        <v>6.73</v>
      </c>
      <c r="E20" s="19">
        <v>0.13</v>
      </c>
      <c r="F20" s="4">
        <v>312316974</v>
      </c>
      <c r="G20" s="4">
        <f t="shared" si="0"/>
        <v>330408776</v>
      </c>
      <c r="H20" s="20">
        <f t="shared" si="1"/>
        <v>18091802</v>
      </c>
      <c r="I20" s="4">
        <v>5851974</v>
      </c>
      <c r="J20" s="4">
        <v>257759392</v>
      </c>
      <c r="K20" s="4">
        <f>11837479+1499548+18508773+2674851</f>
        <v>34520651</v>
      </c>
      <c r="L20" s="4">
        <v>380037</v>
      </c>
      <c r="M20" s="4">
        <v>37748696</v>
      </c>
    </row>
    <row r="21" spans="1:14" x14ac:dyDescent="0.2">
      <c r="A21" s="21" t="s">
        <v>38</v>
      </c>
      <c r="B21" s="21"/>
      <c r="C21" s="4">
        <v>23843682</v>
      </c>
      <c r="D21" s="19">
        <v>11.72</v>
      </c>
      <c r="E21" s="19">
        <v>0.33</v>
      </c>
      <c r="F21" s="4">
        <v>415421518</v>
      </c>
      <c r="G21" s="4">
        <f t="shared" si="0"/>
        <v>422081231</v>
      </c>
      <c r="H21" s="20">
        <f t="shared" si="1"/>
        <v>6659713</v>
      </c>
      <c r="I21" s="4">
        <v>2472201</v>
      </c>
      <c r="J21" s="4">
        <v>321587211</v>
      </c>
      <c r="K21" s="4">
        <f>2514917+15212189+24225456+29154672</f>
        <v>71107234</v>
      </c>
      <c r="L21" s="4">
        <v>313446</v>
      </c>
      <c r="M21" s="4">
        <v>29073340</v>
      </c>
    </row>
    <row r="22" spans="1:14" x14ac:dyDescent="0.2">
      <c r="A22" s="21" t="s">
        <v>39</v>
      </c>
      <c r="B22" s="21"/>
      <c r="C22" s="4">
        <v>1656104</v>
      </c>
      <c r="D22" s="19">
        <v>0.81</v>
      </c>
      <c r="E22" s="19">
        <v>0.06</v>
      </c>
      <c r="F22" s="4">
        <v>3750357</v>
      </c>
      <c r="G22" s="4">
        <f t="shared" si="0"/>
        <v>4607531</v>
      </c>
      <c r="H22" s="20">
        <f t="shared" si="1"/>
        <v>857174</v>
      </c>
      <c r="I22" s="4">
        <v>339512</v>
      </c>
      <c r="J22" s="4">
        <v>0</v>
      </c>
      <c r="K22" s="4">
        <f>299517+1794736</f>
        <v>2094253</v>
      </c>
      <c r="L22" s="4">
        <v>0</v>
      </c>
      <c r="M22" s="4">
        <v>2513278</v>
      </c>
    </row>
    <row r="23" spans="1:14" s="2" customFormat="1" x14ac:dyDescent="0.2">
      <c r="A23" s="21" t="s">
        <v>40</v>
      </c>
      <c r="B23" s="21"/>
      <c r="C23" s="4">
        <v>96289511</v>
      </c>
      <c r="D23" s="19">
        <v>9.3000000000000007</v>
      </c>
      <c r="E23" s="19">
        <v>0.34</v>
      </c>
      <c r="F23" s="4">
        <v>1583708301</v>
      </c>
      <c r="G23" s="20">
        <f t="shared" si="0"/>
        <v>1612924943</v>
      </c>
      <c r="H23" s="20">
        <f t="shared" si="1"/>
        <v>29216642</v>
      </c>
      <c r="I23" s="4">
        <v>26010095</v>
      </c>
      <c r="J23" s="4">
        <v>1357553930</v>
      </c>
      <c r="K23" s="4">
        <f>5856006+57157078+12770403+37650880</f>
        <v>113434367</v>
      </c>
      <c r="L23" s="4">
        <v>335044</v>
      </c>
      <c r="M23" s="4">
        <v>141601602</v>
      </c>
      <c r="N23" s="4"/>
    </row>
    <row r="24" spans="1:14" s="2" customFormat="1" x14ac:dyDescent="0.2">
      <c r="A24" s="21" t="s">
        <v>41</v>
      </c>
      <c r="B24" s="21"/>
      <c r="C24" s="4">
        <v>15902953</v>
      </c>
      <c r="D24" s="19">
        <v>3.22</v>
      </c>
      <c r="E24" s="19">
        <v>0.46</v>
      </c>
      <c r="F24" s="4">
        <v>149605375</v>
      </c>
      <c r="G24" s="20">
        <f t="shared" si="0"/>
        <v>162965890</v>
      </c>
      <c r="H24" s="20">
        <f>G24-F24</f>
        <v>13360515</v>
      </c>
      <c r="I24" s="4">
        <v>9390861</v>
      </c>
      <c r="J24" s="4">
        <v>32216678</v>
      </c>
      <c r="K24" s="4">
        <f>5866455+50775077+1355138+45157717</f>
        <v>103154387</v>
      </c>
      <c r="L24" s="4">
        <v>271</v>
      </c>
      <c r="M24" s="4">
        <v>27594554</v>
      </c>
      <c r="N24" s="4"/>
    </row>
    <row r="25" spans="1:14" s="20" customFormat="1" x14ac:dyDescent="0.2">
      <c r="A25" s="21" t="s">
        <v>42</v>
      </c>
      <c r="B25" s="21"/>
      <c r="C25" s="4">
        <v>1777289</v>
      </c>
      <c r="D25" s="19">
        <v>7.75</v>
      </c>
      <c r="E25" s="19">
        <v>0.22</v>
      </c>
      <c r="F25" s="4">
        <v>25374971</v>
      </c>
      <c r="G25" s="20">
        <f t="shared" si="0"/>
        <v>26318371</v>
      </c>
      <c r="H25" s="20">
        <f t="shared" ref="H25:H32" si="2">G25-F25</f>
        <v>943400</v>
      </c>
      <c r="I25" s="4">
        <v>90758</v>
      </c>
      <c r="J25" s="4">
        <v>22453882</v>
      </c>
      <c r="K25" s="4">
        <f>101274+746157+324102</f>
        <v>1171533</v>
      </c>
      <c r="L25" s="4">
        <v>0</v>
      </c>
      <c r="M25" s="4">
        <v>2692956</v>
      </c>
    </row>
    <row r="26" spans="1:14" s="20" customFormat="1" x14ac:dyDescent="0.2">
      <c r="A26" s="21" t="s">
        <v>43</v>
      </c>
      <c r="B26" s="21"/>
      <c r="C26" s="4">
        <v>75169425</v>
      </c>
      <c r="D26" s="19">
        <v>10.1</v>
      </c>
      <c r="E26" s="19">
        <v>0.21</v>
      </c>
      <c r="F26" s="4">
        <v>1216977272</v>
      </c>
      <c r="G26" s="20">
        <f t="shared" si="0"/>
        <v>1225636920</v>
      </c>
      <c r="H26" s="20">
        <f t="shared" si="2"/>
        <v>8659648</v>
      </c>
      <c r="I26" s="4">
        <v>5846768</v>
      </c>
      <c r="J26" s="4">
        <v>1078655214</v>
      </c>
      <c r="K26" s="4">
        <f>10537874+25007298+1522858+25970473</f>
        <v>63038503</v>
      </c>
      <c r="L26" s="4">
        <v>613</v>
      </c>
      <c r="M26" s="4">
        <v>83942590</v>
      </c>
    </row>
    <row r="27" spans="1:14" x14ac:dyDescent="0.2">
      <c r="A27" s="21" t="s">
        <v>44</v>
      </c>
      <c r="B27" s="21"/>
      <c r="C27" s="4">
        <v>19293297</v>
      </c>
      <c r="D27" s="19">
        <v>12.2</v>
      </c>
      <c r="E27" s="19">
        <v>0.09</v>
      </c>
      <c r="F27" s="4">
        <v>339558006</v>
      </c>
      <c r="G27" s="4">
        <f t="shared" si="0"/>
        <v>343256862</v>
      </c>
      <c r="H27" s="20">
        <f t="shared" si="2"/>
        <v>3698856</v>
      </c>
      <c r="I27" s="4">
        <v>362031</v>
      </c>
      <c r="J27" s="4">
        <v>315953747</v>
      </c>
      <c r="K27" s="4">
        <f>554567+3724839+31556</f>
        <v>4310962</v>
      </c>
      <c r="L27" s="4">
        <v>0</v>
      </c>
      <c r="M27" s="4">
        <v>22992153</v>
      </c>
    </row>
    <row r="28" spans="1:14" s="20" customFormat="1" x14ac:dyDescent="0.2">
      <c r="A28" s="21" t="s">
        <v>45</v>
      </c>
      <c r="B28" s="6"/>
      <c r="C28" s="4">
        <v>37358457</v>
      </c>
      <c r="D28" s="19">
        <v>9.3000000000000007</v>
      </c>
      <c r="E28" s="19">
        <v>0.22</v>
      </c>
      <c r="F28" s="4">
        <v>614696734</v>
      </c>
      <c r="G28" s="20">
        <f>+J28+K28+L28+M28</f>
        <v>621371667</v>
      </c>
      <c r="H28" s="20">
        <f>G28-F28</f>
        <v>6674933</v>
      </c>
      <c r="I28" s="4">
        <v>11267581</v>
      </c>
      <c r="J28" s="4">
        <v>559614921</v>
      </c>
      <c r="K28" s="4">
        <f>71150+2812728+18982712</f>
        <v>21866590</v>
      </c>
      <c r="L28" s="4">
        <v>301485</v>
      </c>
      <c r="M28" s="4">
        <v>39588671</v>
      </c>
    </row>
    <row r="29" spans="1:14" s="20" customFormat="1" x14ac:dyDescent="0.2">
      <c r="A29" s="21" t="s">
        <v>46</v>
      </c>
      <c r="B29" s="6"/>
      <c r="C29" s="4">
        <v>66961365</v>
      </c>
      <c r="D29" s="19">
        <v>15.11</v>
      </c>
      <c r="E29" s="19">
        <v>0.46</v>
      </c>
      <c r="F29" s="4">
        <v>1170980245</v>
      </c>
      <c r="G29" s="20">
        <f t="shared" si="0"/>
        <v>1177762458</v>
      </c>
      <c r="H29" s="20">
        <f t="shared" si="2"/>
        <v>6782213</v>
      </c>
      <c r="I29" s="4">
        <v>6866961</v>
      </c>
      <c r="J29" s="4">
        <v>1086387422</v>
      </c>
      <c r="K29" s="4">
        <f>971354+11435197+2331605+2963530</f>
        <v>17701686</v>
      </c>
      <c r="L29" s="4">
        <v>0</v>
      </c>
      <c r="M29" s="4">
        <v>73673350</v>
      </c>
    </row>
    <row r="30" spans="1:14" x14ac:dyDescent="0.2">
      <c r="A30" s="21" t="s">
        <v>47</v>
      </c>
      <c r="B30" s="21"/>
      <c r="C30" s="4">
        <v>15391374</v>
      </c>
      <c r="D30" s="19">
        <v>8.52</v>
      </c>
      <c r="E30" s="19">
        <v>0.23</v>
      </c>
      <c r="F30" s="4">
        <v>270247736</v>
      </c>
      <c r="G30" s="4">
        <f>+J30+K30+L30+M30</f>
        <v>271990597</v>
      </c>
      <c r="H30" s="20">
        <f>G30-F30</f>
        <v>1742861</v>
      </c>
      <c r="I30" s="4">
        <v>14362369</v>
      </c>
      <c r="J30" s="4">
        <v>253465701</v>
      </c>
      <c r="K30" s="4">
        <f>978019+181487+269883</f>
        <v>1429389</v>
      </c>
      <c r="L30" s="4">
        <v>1564</v>
      </c>
      <c r="M30" s="4">
        <v>17093943</v>
      </c>
    </row>
    <row r="31" spans="1:14" s="20" customFormat="1" x14ac:dyDescent="0.2">
      <c r="A31" s="21" t="s">
        <v>95</v>
      </c>
      <c r="B31" s="21"/>
      <c r="C31" s="4">
        <v>17041454</v>
      </c>
      <c r="D31" s="19">
        <v>0.88</v>
      </c>
      <c r="E31" s="19">
        <v>0.31</v>
      </c>
      <c r="F31" s="4">
        <v>49512582</v>
      </c>
      <c r="G31" s="20">
        <f>+J31+K31+L31+M31</f>
        <v>59185008</v>
      </c>
      <c r="H31" s="20">
        <f>G31-F31</f>
        <v>9672426</v>
      </c>
      <c r="I31" s="4">
        <v>24040599</v>
      </c>
      <c r="J31" s="4">
        <v>0</v>
      </c>
      <c r="K31" s="4">
        <f>5690053+25319629+1580539</f>
        <v>32590221</v>
      </c>
      <c r="L31" s="4">
        <v>50472</v>
      </c>
      <c r="M31" s="4">
        <v>26544315</v>
      </c>
      <c r="N31" s="4"/>
    </row>
    <row r="32" spans="1:14" s="20" customFormat="1" x14ac:dyDescent="0.2">
      <c r="A32" s="21" t="s">
        <v>48</v>
      </c>
      <c r="B32" s="21"/>
      <c r="C32" s="4">
        <v>6840322</v>
      </c>
      <c r="D32" s="19">
        <v>6.26</v>
      </c>
      <c r="E32" s="19">
        <v>0.68</v>
      </c>
      <c r="F32" s="4">
        <v>69289729</v>
      </c>
      <c r="G32" s="4">
        <f t="shared" si="0"/>
        <v>70673722</v>
      </c>
      <c r="H32" s="20">
        <f t="shared" si="2"/>
        <v>1383993</v>
      </c>
      <c r="I32" s="4">
        <v>854692</v>
      </c>
      <c r="J32" s="4">
        <v>36962477</v>
      </c>
      <c r="K32" s="4">
        <f>1982930+4725291+12418322+6806314</f>
        <v>25932857</v>
      </c>
      <c r="L32" s="4">
        <v>190792</v>
      </c>
      <c r="M32" s="4">
        <v>7587596</v>
      </c>
      <c r="N32" s="4"/>
    </row>
    <row r="33" spans="1:14" x14ac:dyDescent="0.2">
      <c r="A33" s="21" t="s">
        <v>88</v>
      </c>
      <c r="B33" s="6"/>
      <c r="C33" s="4">
        <v>29364513</v>
      </c>
      <c r="D33" s="19">
        <v>10.11</v>
      </c>
      <c r="E33" s="19">
        <v>0.18</v>
      </c>
      <c r="F33" s="4">
        <v>519832923</v>
      </c>
      <c r="G33" s="4">
        <f t="shared" si="0"/>
        <v>544796589</v>
      </c>
      <c r="H33" s="20">
        <f>G33-F33</f>
        <v>24963666</v>
      </c>
      <c r="I33" s="4">
        <v>111736</v>
      </c>
      <c r="J33" s="4">
        <v>453310317</v>
      </c>
      <c r="K33" s="4">
        <v>37158093</v>
      </c>
      <c r="L33" s="4">
        <v>0</v>
      </c>
      <c r="M33" s="4">
        <v>54328179</v>
      </c>
    </row>
    <row r="34" spans="1:14" x14ac:dyDescent="0.2">
      <c r="A34" s="21" t="s">
        <v>50</v>
      </c>
      <c r="B34" s="21"/>
      <c r="C34" s="4">
        <v>51565329</v>
      </c>
      <c r="D34" s="19">
        <v>8.94</v>
      </c>
      <c r="E34" s="19">
        <v>0.25</v>
      </c>
      <c r="F34" s="4">
        <v>893377481</v>
      </c>
      <c r="G34" s="20">
        <f>+J34+K34+L34+M34</f>
        <v>902685952</v>
      </c>
      <c r="H34" s="20">
        <f t="shared" si="1"/>
        <v>9308471</v>
      </c>
      <c r="I34" s="4">
        <v>25079474</v>
      </c>
      <c r="J34" s="4">
        <v>816165670</v>
      </c>
      <c r="K34" s="4">
        <f>798438+9731049+7124847+8817453</f>
        <v>26471787</v>
      </c>
      <c r="L34" s="4">
        <v>0</v>
      </c>
      <c r="M34" s="4">
        <v>60048495</v>
      </c>
    </row>
    <row r="35" spans="1:14" x14ac:dyDescent="0.2">
      <c r="A35" s="24" t="s">
        <v>51</v>
      </c>
      <c r="B35" s="24"/>
      <c r="C35" s="25">
        <f>SUM(C8:C34)</f>
        <v>768925246</v>
      </c>
      <c r="D35" s="26"/>
      <c r="E35" s="26"/>
      <c r="F35" s="25">
        <f t="shared" ref="F35:M35" si="3">SUM(F8:F34)</f>
        <v>12041873371</v>
      </c>
      <c r="G35" s="25">
        <f t="shared" si="3"/>
        <v>12410445541</v>
      </c>
      <c r="H35" s="25">
        <f t="shared" si="3"/>
        <v>368572170</v>
      </c>
      <c r="I35" s="25">
        <f t="shared" si="3"/>
        <v>216483584</v>
      </c>
      <c r="J35" s="25">
        <f t="shared" si="3"/>
        <v>10381724334</v>
      </c>
      <c r="K35" s="25">
        <f t="shared" si="3"/>
        <v>874669573</v>
      </c>
      <c r="L35" s="25">
        <f t="shared" si="3"/>
        <v>4730823</v>
      </c>
      <c r="M35" s="25">
        <f t="shared" si="3"/>
        <v>1149320811</v>
      </c>
    </row>
    <row r="36" spans="1:14" x14ac:dyDescent="0.2">
      <c r="A36" s="27"/>
      <c r="B36" s="27"/>
      <c r="D36" s="19"/>
      <c r="E36" s="19"/>
      <c r="M36" s="28"/>
    </row>
    <row r="37" spans="1:14" s="20" customFormat="1" x14ac:dyDescent="0.2">
      <c r="A37" s="21" t="s">
        <v>52</v>
      </c>
      <c r="B37" s="21"/>
      <c r="C37" s="4">
        <v>2554328</v>
      </c>
      <c r="D37" s="19">
        <v>2.2999999999999998</v>
      </c>
      <c r="E37" s="19">
        <v>0.04</v>
      </c>
      <c r="F37" s="4">
        <v>45300731</v>
      </c>
      <c r="G37" s="4">
        <f>+J37+K37+L37+M37</f>
        <v>53490609</v>
      </c>
      <c r="H37" s="20">
        <f>G37-F37</f>
        <v>8189878</v>
      </c>
      <c r="I37" s="4">
        <v>8181281</v>
      </c>
      <c r="J37" s="4">
        <v>42675246</v>
      </c>
      <c r="K37" s="4">
        <f>56410+14747</f>
        <v>71157</v>
      </c>
      <c r="L37" s="4">
        <v>0</v>
      </c>
      <c r="M37" s="4">
        <v>10744206</v>
      </c>
      <c r="N37" s="4"/>
    </row>
    <row r="38" spans="1:14" x14ac:dyDescent="0.2">
      <c r="A38" s="29" t="s">
        <v>53</v>
      </c>
      <c r="B38" s="29"/>
      <c r="C38" s="25">
        <f>SUM(C37)</f>
        <v>2554328</v>
      </c>
      <c r="D38" s="26"/>
      <c r="E38" s="26"/>
      <c r="F38" s="25">
        <f t="shared" ref="F38:M38" si="4">SUM(F37)</f>
        <v>45300731</v>
      </c>
      <c r="G38" s="25">
        <f t="shared" si="4"/>
        <v>53490609</v>
      </c>
      <c r="H38" s="25">
        <f t="shared" si="4"/>
        <v>8189878</v>
      </c>
      <c r="I38" s="25">
        <f t="shared" si="4"/>
        <v>8181281</v>
      </c>
      <c r="J38" s="25">
        <f t="shared" si="4"/>
        <v>42675246</v>
      </c>
      <c r="K38" s="25">
        <f t="shared" si="4"/>
        <v>71157</v>
      </c>
      <c r="L38" s="25">
        <f t="shared" si="4"/>
        <v>0</v>
      </c>
      <c r="M38" s="25">
        <f t="shared" si="4"/>
        <v>10744206</v>
      </c>
    </row>
    <row r="39" spans="1:14" x14ac:dyDescent="0.2">
      <c r="D39" s="19"/>
      <c r="E39" s="19"/>
      <c r="I39" s="20"/>
      <c r="J39" s="20"/>
      <c r="K39" s="20"/>
      <c r="M39" s="28"/>
    </row>
    <row r="40" spans="1:14" x14ac:dyDescent="0.2">
      <c r="A40" s="30" t="s">
        <v>13</v>
      </c>
      <c r="B40" s="30"/>
      <c r="C40" s="7">
        <f>C35+C38</f>
        <v>771479574</v>
      </c>
      <c r="D40" s="31"/>
      <c r="E40" s="31"/>
      <c r="F40" s="7">
        <f t="shared" ref="F40:M40" si="5">F35+F38</f>
        <v>12087174102</v>
      </c>
      <c r="G40" s="7">
        <f t="shared" si="5"/>
        <v>12463936150</v>
      </c>
      <c r="H40" s="7">
        <f t="shared" si="5"/>
        <v>376762048</v>
      </c>
      <c r="I40" s="7">
        <f t="shared" si="5"/>
        <v>224664865</v>
      </c>
      <c r="J40" s="32">
        <f t="shared" si="5"/>
        <v>10424399580</v>
      </c>
      <c r="K40" s="32">
        <f t="shared" si="5"/>
        <v>874740730</v>
      </c>
      <c r="L40" s="7">
        <f t="shared" si="5"/>
        <v>4730823</v>
      </c>
      <c r="M40" s="7">
        <f t="shared" si="5"/>
        <v>1160065017</v>
      </c>
    </row>
    <row r="41" spans="1:14" ht="9.75" customHeight="1" x14ac:dyDescent="0.2">
      <c r="A41" s="33"/>
    </row>
    <row r="42" spans="1:14" ht="15" customHeight="1" x14ac:dyDescent="0.2">
      <c r="A42" s="33" t="s">
        <v>54</v>
      </c>
      <c r="B42" s="75" t="s">
        <v>92</v>
      </c>
      <c r="C42" s="75"/>
      <c r="D42" s="75"/>
      <c r="E42" s="75"/>
      <c r="F42" s="75"/>
      <c r="G42" s="75"/>
      <c r="H42" s="75"/>
      <c r="I42" s="75"/>
      <c r="J42" s="75"/>
      <c r="K42" s="75"/>
      <c r="L42" s="75"/>
      <c r="M42" s="77"/>
    </row>
    <row r="43" spans="1:14" ht="12.75" customHeight="1" x14ac:dyDescent="0.2">
      <c r="A43" s="35"/>
    </row>
    <row r="44" spans="1:14" x14ac:dyDescent="0.2">
      <c r="A44" s="1" t="s">
        <v>57</v>
      </c>
      <c r="B44" s="65"/>
      <c r="C44" s="36"/>
      <c r="D44" s="36"/>
      <c r="E44" s="36"/>
      <c r="F44" s="36"/>
      <c r="G44" s="36"/>
      <c r="H44" s="36"/>
      <c r="I44" s="36"/>
      <c r="J44" s="36"/>
      <c r="K44" s="36"/>
    </row>
    <row r="45" spans="1:14" x14ac:dyDescent="0.2">
      <c r="A45" s="6" t="s">
        <v>93</v>
      </c>
      <c r="B45" s="5"/>
      <c r="C45" s="2"/>
      <c r="D45" s="2"/>
      <c r="F45" s="36"/>
      <c r="G45" s="36"/>
      <c r="H45" s="36"/>
      <c r="I45" s="36"/>
      <c r="J45" s="36"/>
      <c r="K45" s="36"/>
    </row>
    <row r="46" spans="1:14" x14ac:dyDescent="0.2">
      <c r="A46" s="36"/>
      <c r="B46" s="36"/>
      <c r="C46" s="36"/>
      <c r="D46" s="36"/>
      <c r="E46" s="36"/>
      <c r="F46" s="36"/>
      <c r="G46" s="36"/>
      <c r="H46" s="36"/>
      <c r="I46" s="36"/>
      <c r="J46" s="36"/>
      <c r="K46" s="36"/>
    </row>
    <row r="47" spans="1:14" x14ac:dyDescent="0.2">
      <c r="A47" s="66" t="s">
        <v>58</v>
      </c>
      <c r="B47" s="43"/>
      <c r="C47" s="66"/>
      <c r="D47" s="43"/>
      <c r="E47" s="36"/>
      <c r="F47" s="36"/>
      <c r="G47" s="36"/>
      <c r="H47" s="36"/>
      <c r="I47" s="36"/>
      <c r="J47" s="36"/>
      <c r="K47" s="36"/>
    </row>
    <row r="48" spans="1:14" x14ac:dyDescent="0.2">
      <c r="A48" s="8" t="s">
        <v>3</v>
      </c>
      <c r="B48" s="39"/>
      <c r="C48" s="39"/>
      <c r="D48" s="24" t="s">
        <v>59</v>
      </c>
      <c r="E48" s="40"/>
      <c r="F48" s="41" t="s">
        <v>60</v>
      </c>
      <c r="G48" s="41" t="s">
        <v>10</v>
      </c>
      <c r="H48" s="42" t="s">
        <v>61</v>
      </c>
      <c r="I48" s="41" t="s">
        <v>60</v>
      </c>
      <c r="J48" s="41" t="s">
        <v>10</v>
      </c>
      <c r="K48" s="42" t="s">
        <v>61</v>
      </c>
    </row>
    <row r="49" spans="1:11" x14ac:dyDescent="0.2">
      <c r="A49" s="43"/>
      <c r="B49" s="43"/>
      <c r="C49" s="43"/>
      <c r="D49" s="12" t="s">
        <v>13</v>
      </c>
      <c r="E49" s="12" t="s">
        <v>14</v>
      </c>
      <c r="F49" s="44" t="s">
        <v>62</v>
      </c>
      <c r="G49" s="44" t="s">
        <v>63</v>
      </c>
      <c r="H49" s="44" t="s">
        <v>64</v>
      </c>
      <c r="I49" s="44" t="s">
        <v>65</v>
      </c>
      <c r="J49" s="44" t="s">
        <v>63</v>
      </c>
      <c r="K49" s="44" t="s">
        <v>64</v>
      </c>
    </row>
    <row r="50" spans="1:11" x14ac:dyDescent="0.2">
      <c r="A50" s="45"/>
      <c r="B50" s="45"/>
      <c r="C50" s="45"/>
      <c r="D50" s="45"/>
      <c r="E50" s="45"/>
      <c r="F50" s="46" t="s">
        <v>66</v>
      </c>
      <c r="G50" s="46" t="s">
        <v>67</v>
      </c>
      <c r="H50" s="46" t="s">
        <v>67</v>
      </c>
      <c r="I50" s="46" t="s">
        <v>4</v>
      </c>
      <c r="J50" s="47" t="s">
        <v>68</v>
      </c>
      <c r="K50" s="47" t="s">
        <v>68</v>
      </c>
    </row>
    <row r="51" spans="1:11" x14ac:dyDescent="0.2">
      <c r="A51" s="43"/>
      <c r="B51" s="43"/>
      <c r="C51" s="43"/>
      <c r="D51" s="48"/>
      <c r="E51" s="48"/>
      <c r="F51" s="49"/>
      <c r="G51" s="49"/>
      <c r="H51" s="49"/>
      <c r="I51" s="49"/>
      <c r="J51" s="18"/>
      <c r="K51" s="18"/>
    </row>
    <row r="52" spans="1:11" x14ac:dyDescent="0.2">
      <c r="A52" s="66" t="s">
        <v>96</v>
      </c>
      <c r="B52" s="43"/>
      <c r="C52" s="43"/>
      <c r="D52" s="51">
        <v>1.08</v>
      </c>
      <c r="E52" s="52">
        <v>2E-3</v>
      </c>
      <c r="F52" s="53">
        <v>61478951</v>
      </c>
      <c r="G52" s="53">
        <v>61478951</v>
      </c>
      <c r="H52" s="53">
        <v>0</v>
      </c>
      <c r="I52" s="53">
        <v>57144390</v>
      </c>
      <c r="J52" s="53">
        <v>57242010</v>
      </c>
      <c r="K52" s="53">
        <v>97620</v>
      </c>
    </row>
    <row r="53" spans="1:11" x14ac:dyDescent="0.2">
      <c r="A53" s="66" t="s">
        <v>97</v>
      </c>
      <c r="B53" s="43"/>
      <c r="C53" s="43"/>
      <c r="D53" s="51">
        <v>0.44</v>
      </c>
      <c r="E53" s="51">
        <v>0.01</v>
      </c>
      <c r="F53" s="53">
        <v>17251779</v>
      </c>
      <c r="G53" s="53">
        <v>17251779</v>
      </c>
      <c r="H53" s="53">
        <v>0</v>
      </c>
      <c r="I53" s="53">
        <v>40167516</v>
      </c>
      <c r="J53" s="53">
        <v>40480000</v>
      </c>
      <c r="K53" s="53">
        <v>312484</v>
      </c>
    </row>
    <row r="54" spans="1:11" x14ac:dyDescent="0.2">
      <c r="A54" s="43"/>
      <c r="B54" s="43"/>
      <c r="C54" s="43"/>
      <c r="D54" s="48"/>
      <c r="E54" s="48"/>
      <c r="F54" s="53"/>
      <c r="G54" s="53"/>
      <c r="H54" s="53"/>
      <c r="I54" s="53"/>
      <c r="J54" s="53"/>
      <c r="K54" s="53"/>
    </row>
    <row r="55" spans="1:11" x14ac:dyDescent="0.2">
      <c r="A55" s="36"/>
      <c r="B55" s="36"/>
      <c r="C55" s="36"/>
      <c r="D55" s="55"/>
      <c r="E55" s="55"/>
      <c r="F55" s="56"/>
      <c r="G55" s="56"/>
      <c r="H55" s="56"/>
      <c r="I55" s="56"/>
      <c r="J55" s="56"/>
      <c r="K55" s="56"/>
    </row>
    <row r="56" spans="1:11" x14ac:dyDescent="0.2">
      <c r="A56" s="66" t="s">
        <v>71</v>
      </c>
      <c r="B56" s="43"/>
      <c r="C56" s="66"/>
      <c r="D56" s="66"/>
      <c r="E56" s="43"/>
      <c r="F56" s="66"/>
      <c r="G56" s="56"/>
      <c r="H56" s="56"/>
      <c r="I56" s="56"/>
      <c r="J56" s="56"/>
      <c r="K56" s="56"/>
    </row>
    <row r="57" spans="1:11" x14ac:dyDescent="0.2">
      <c r="A57" s="8" t="s">
        <v>3</v>
      </c>
      <c r="B57" s="39"/>
      <c r="C57" s="39"/>
      <c r="D57" s="24" t="s">
        <v>59</v>
      </c>
      <c r="E57" s="58"/>
      <c r="F57" s="59" t="s">
        <v>72</v>
      </c>
      <c r="G57" s="59" t="s">
        <v>72</v>
      </c>
      <c r="H57" s="60" t="s">
        <v>73</v>
      </c>
      <c r="I57" s="60" t="s">
        <v>74</v>
      </c>
      <c r="J57" s="53"/>
      <c r="K57" s="53"/>
    </row>
    <row r="58" spans="1:11" x14ac:dyDescent="0.2">
      <c r="A58" s="43"/>
      <c r="B58" s="43"/>
      <c r="C58" s="43"/>
      <c r="D58" s="12" t="s">
        <v>13</v>
      </c>
      <c r="E58" s="12" t="s">
        <v>14</v>
      </c>
      <c r="F58" s="18" t="s">
        <v>75</v>
      </c>
      <c r="G58" s="18" t="s">
        <v>75</v>
      </c>
      <c r="H58" s="49" t="s">
        <v>76</v>
      </c>
      <c r="I58" s="49" t="s">
        <v>64</v>
      </c>
      <c r="J58" s="53"/>
      <c r="K58" s="53"/>
    </row>
    <row r="59" spans="1:11" x14ac:dyDescent="0.2">
      <c r="A59" s="43"/>
      <c r="B59" s="43"/>
      <c r="C59" s="43"/>
      <c r="D59" s="48"/>
      <c r="E59" s="48"/>
      <c r="F59" s="18" t="s">
        <v>77</v>
      </c>
      <c r="G59" s="49" t="s">
        <v>78</v>
      </c>
      <c r="H59" s="18" t="s">
        <v>79</v>
      </c>
      <c r="I59" s="49" t="s">
        <v>80</v>
      </c>
      <c r="J59" s="53"/>
      <c r="K59" s="53"/>
    </row>
    <row r="60" spans="1:11" x14ac:dyDescent="0.2">
      <c r="A60" s="45"/>
      <c r="B60" s="45"/>
      <c r="C60" s="45"/>
      <c r="D60" s="61"/>
      <c r="E60" s="61"/>
      <c r="F60" s="62" t="s">
        <v>81</v>
      </c>
      <c r="G60" s="62" t="s">
        <v>82</v>
      </c>
      <c r="H60" s="62" t="s">
        <v>83</v>
      </c>
      <c r="I60" s="62" t="s">
        <v>83</v>
      </c>
      <c r="J60" s="53"/>
      <c r="K60" s="53"/>
    </row>
    <row r="61" spans="1:11" x14ac:dyDescent="0.2">
      <c r="A61" s="43"/>
      <c r="B61" s="43"/>
      <c r="C61" s="36"/>
      <c r="D61" s="55"/>
      <c r="E61" s="55"/>
      <c r="F61" s="56"/>
      <c r="G61" s="56"/>
      <c r="H61" s="56"/>
      <c r="I61" s="56"/>
      <c r="J61" s="56"/>
      <c r="K61" s="56"/>
    </row>
    <row r="62" spans="1:11" x14ac:dyDescent="0.2">
      <c r="A62" s="43" t="s">
        <v>98</v>
      </c>
      <c r="B62" s="43"/>
      <c r="C62" s="43"/>
      <c r="D62" s="51">
        <v>1.45</v>
      </c>
      <c r="E62" s="51">
        <v>0.01</v>
      </c>
      <c r="F62" s="53">
        <v>54346843</v>
      </c>
      <c r="G62" s="53">
        <v>42570267</v>
      </c>
      <c r="H62" s="53">
        <v>97183095</v>
      </c>
      <c r="I62" s="53">
        <v>265985</v>
      </c>
      <c r="J62" s="53"/>
      <c r="K62" s="53"/>
    </row>
    <row r="63" spans="1:11" x14ac:dyDescent="0.2">
      <c r="A63" s="36"/>
      <c r="B63" s="36"/>
      <c r="C63" s="36"/>
      <c r="D63" s="55"/>
      <c r="E63" s="55"/>
      <c r="F63" s="56"/>
      <c r="G63" s="56"/>
      <c r="H63" s="56"/>
      <c r="I63" s="56"/>
      <c r="J63" s="56"/>
      <c r="K63" s="56"/>
    </row>
    <row r="64" spans="1:11" x14ac:dyDescent="0.2">
      <c r="A64" s="36"/>
      <c r="B64" s="36"/>
      <c r="C64" s="36"/>
      <c r="D64" s="55"/>
      <c r="E64" s="55"/>
      <c r="F64" s="56"/>
      <c r="G64" s="56"/>
      <c r="H64" s="56"/>
      <c r="I64" s="56"/>
      <c r="J64" s="56"/>
      <c r="K64" s="56"/>
    </row>
    <row r="65" spans="1:11" x14ac:dyDescent="0.2">
      <c r="A65" s="67"/>
      <c r="B65" s="67"/>
      <c r="C65" s="67"/>
      <c r="D65" s="67"/>
      <c r="E65" s="67"/>
      <c r="F65" s="67"/>
      <c r="G65" s="67"/>
      <c r="H65" s="67"/>
      <c r="I65" s="67"/>
      <c r="J65" s="67"/>
      <c r="K65" s="67"/>
    </row>
  </sheetData>
  <mergeCells count="5">
    <mergeCell ref="D4:E4"/>
    <mergeCell ref="A8:B8"/>
    <mergeCell ref="A9:B9"/>
    <mergeCell ref="A13:B13"/>
    <mergeCell ref="B42:M4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workbookViewId="0"/>
  </sheetViews>
  <sheetFormatPr baseColWidth="10" defaultRowHeight="12.75" x14ac:dyDescent="0.2"/>
  <cols>
    <col min="1" max="1" width="2.5703125" style="4" customWidth="1"/>
    <col min="2" max="2" width="22.42578125" style="4" customWidth="1"/>
    <col min="3" max="3" width="12.140625" style="4" bestFit="1" customWidth="1"/>
    <col min="4" max="4" width="8.140625" style="4" customWidth="1"/>
    <col min="5" max="5" width="8.5703125" style="4" customWidth="1"/>
    <col min="6" max="6" width="17" style="4" bestFit="1" customWidth="1"/>
    <col min="7" max="7" width="16.7109375" style="4" bestFit="1" customWidth="1"/>
    <col min="8" max="8" width="18" style="4" bestFit="1" customWidth="1"/>
    <col min="9" max="9" width="17.7109375" style="4" bestFit="1" customWidth="1"/>
    <col min="10" max="10" width="15.7109375" style="4" customWidth="1"/>
    <col min="11" max="11" width="16.28515625" style="4" customWidth="1"/>
    <col min="12" max="12" width="15.140625" style="4" customWidth="1"/>
    <col min="13" max="13" width="14.28515625" style="4" customWidth="1"/>
    <col min="14" max="14" width="14.5703125" style="4" bestFit="1" customWidth="1"/>
    <col min="15" max="256" width="11.42578125" style="4"/>
    <col min="257" max="257" width="2.5703125" style="4" customWidth="1"/>
    <col min="258" max="258" width="22.42578125" style="4" customWidth="1"/>
    <col min="259" max="259" width="12.140625" style="4" bestFit="1" customWidth="1"/>
    <col min="260" max="260" width="8.140625" style="4" customWidth="1"/>
    <col min="261" max="261" width="8.5703125" style="4" customWidth="1"/>
    <col min="262" max="262" width="17" style="4" bestFit="1" customWidth="1"/>
    <col min="263" max="263" width="16.7109375" style="4" bestFit="1" customWidth="1"/>
    <col min="264" max="264" width="18" style="4" bestFit="1" customWidth="1"/>
    <col min="265" max="265" width="17.7109375" style="4" bestFit="1" customWidth="1"/>
    <col min="266" max="266" width="15.7109375" style="4" customWidth="1"/>
    <col min="267" max="267" width="16.28515625" style="4" customWidth="1"/>
    <col min="268" max="268" width="15.140625" style="4" customWidth="1"/>
    <col min="269" max="269" width="14.28515625" style="4" customWidth="1"/>
    <col min="270" max="270" width="14.5703125" style="4" bestFit="1" customWidth="1"/>
    <col min="271" max="512" width="11.42578125" style="4"/>
    <col min="513" max="513" width="2.5703125" style="4" customWidth="1"/>
    <col min="514" max="514" width="22.42578125" style="4" customWidth="1"/>
    <col min="515" max="515" width="12.140625" style="4" bestFit="1" customWidth="1"/>
    <col min="516" max="516" width="8.140625" style="4" customWidth="1"/>
    <col min="517" max="517" width="8.5703125" style="4" customWidth="1"/>
    <col min="518" max="518" width="17" style="4" bestFit="1" customWidth="1"/>
    <col min="519" max="519" width="16.7109375" style="4" bestFit="1" customWidth="1"/>
    <col min="520" max="520" width="18" style="4" bestFit="1" customWidth="1"/>
    <col min="521" max="521" width="17.7109375" style="4" bestFit="1" customWidth="1"/>
    <col min="522" max="522" width="15.7109375" style="4" customWidth="1"/>
    <col min="523" max="523" width="16.28515625" style="4" customWidth="1"/>
    <col min="524" max="524" width="15.140625" style="4" customWidth="1"/>
    <col min="525" max="525" width="14.28515625" style="4" customWidth="1"/>
    <col min="526" max="526" width="14.5703125" style="4" bestFit="1" customWidth="1"/>
    <col min="527" max="768" width="11.42578125" style="4"/>
    <col min="769" max="769" width="2.5703125" style="4" customWidth="1"/>
    <col min="770" max="770" width="22.42578125" style="4" customWidth="1"/>
    <col min="771" max="771" width="12.140625" style="4" bestFit="1" customWidth="1"/>
    <col min="772" max="772" width="8.140625" style="4" customWidth="1"/>
    <col min="773" max="773" width="8.5703125" style="4" customWidth="1"/>
    <col min="774" max="774" width="17" style="4" bestFit="1" customWidth="1"/>
    <col min="775" max="775" width="16.7109375" style="4" bestFit="1" customWidth="1"/>
    <col min="776" max="776" width="18" style="4" bestFit="1" customWidth="1"/>
    <col min="777" max="777" width="17.7109375" style="4" bestFit="1" customWidth="1"/>
    <col min="778" max="778" width="15.7109375" style="4" customWidth="1"/>
    <col min="779" max="779" width="16.28515625" style="4" customWidth="1"/>
    <col min="780" max="780" width="15.140625" style="4" customWidth="1"/>
    <col min="781" max="781" width="14.28515625" style="4" customWidth="1"/>
    <col min="782" max="782" width="14.5703125" style="4" bestFit="1" customWidth="1"/>
    <col min="783" max="1024" width="11.42578125" style="4"/>
    <col min="1025" max="1025" width="2.5703125" style="4" customWidth="1"/>
    <col min="1026" max="1026" width="22.42578125" style="4" customWidth="1"/>
    <col min="1027" max="1027" width="12.140625" style="4" bestFit="1" customWidth="1"/>
    <col min="1028" max="1028" width="8.140625" style="4" customWidth="1"/>
    <col min="1029" max="1029" width="8.5703125" style="4" customWidth="1"/>
    <col min="1030" max="1030" width="17" style="4" bestFit="1" customWidth="1"/>
    <col min="1031" max="1031" width="16.7109375" style="4" bestFit="1" customWidth="1"/>
    <col min="1032" max="1032" width="18" style="4" bestFit="1" customWidth="1"/>
    <col min="1033" max="1033" width="17.7109375" style="4" bestFit="1" customWidth="1"/>
    <col min="1034" max="1034" width="15.7109375" style="4" customWidth="1"/>
    <col min="1035" max="1035" width="16.28515625" style="4" customWidth="1"/>
    <col min="1036" max="1036" width="15.140625" style="4" customWidth="1"/>
    <col min="1037" max="1037" width="14.28515625" style="4" customWidth="1"/>
    <col min="1038" max="1038" width="14.5703125" style="4" bestFit="1" customWidth="1"/>
    <col min="1039" max="1280" width="11.42578125" style="4"/>
    <col min="1281" max="1281" width="2.5703125" style="4" customWidth="1"/>
    <col min="1282" max="1282" width="22.42578125" style="4" customWidth="1"/>
    <col min="1283" max="1283" width="12.140625" style="4" bestFit="1" customWidth="1"/>
    <col min="1284" max="1284" width="8.140625" style="4" customWidth="1"/>
    <col min="1285" max="1285" width="8.5703125" style="4" customWidth="1"/>
    <col min="1286" max="1286" width="17" style="4" bestFit="1" customWidth="1"/>
    <col min="1287" max="1287" width="16.7109375" style="4" bestFit="1" customWidth="1"/>
    <col min="1288" max="1288" width="18" style="4" bestFit="1" customWidth="1"/>
    <col min="1289" max="1289" width="17.7109375" style="4" bestFit="1" customWidth="1"/>
    <col min="1290" max="1290" width="15.7109375" style="4" customWidth="1"/>
    <col min="1291" max="1291" width="16.28515625" style="4" customWidth="1"/>
    <col min="1292" max="1292" width="15.140625" style="4" customWidth="1"/>
    <col min="1293" max="1293" width="14.28515625" style="4" customWidth="1"/>
    <col min="1294" max="1294" width="14.5703125" style="4" bestFit="1" customWidth="1"/>
    <col min="1295" max="1536" width="11.42578125" style="4"/>
    <col min="1537" max="1537" width="2.5703125" style="4" customWidth="1"/>
    <col min="1538" max="1538" width="22.42578125" style="4" customWidth="1"/>
    <col min="1539" max="1539" width="12.140625" style="4" bestFit="1" customWidth="1"/>
    <col min="1540" max="1540" width="8.140625" style="4" customWidth="1"/>
    <col min="1541" max="1541" width="8.5703125" style="4" customWidth="1"/>
    <col min="1542" max="1542" width="17" style="4" bestFit="1" customWidth="1"/>
    <col min="1543" max="1543" width="16.7109375" style="4" bestFit="1" customWidth="1"/>
    <col min="1544" max="1544" width="18" style="4" bestFit="1" customWidth="1"/>
    <col min="1545" max="1545" width="17.7109375" style="4" bestFit="1" customWidth="1"/>
    <col min="1546" max="1546" width="15.7109375" style="4" customWidth="1"/>
    <col min="1547" max="1547" width="16.28515625" style="4" customWidth="1"/>
    <col min="1548" max="1548" width="15.140625" style="4" customWidth="1"/>
    <col min="1549" max="1549" width="14.28515625" style="4" customWidth="1"/>
    <col min="1550" max="1550" width="14.5703125" style="4" bestFit="1" customWidth="1"/>
    <col min="1551" max="1792" width="11.42578125" style="4"/>
    <col min="1793" max="1793" width="2.5703125" style="4" customWidth="1"/>
    <col min="1794" max="1794" width="22.42578125" style="4" customWidth="1"/>
    <col min="1795" max="1795" width="12.140625" style="4" bestFit="1" customWidth="1"/>
    <col min="1796" max="1796" width="8.140625" style="4" customWidth="1"/>
    <col min="1797" max="1797" width="8.5703125" style="4" customWidth="1"/>
    <col min="1798" max="1798" width="17" style="4" bestFit="1" customWidth="1"/>
    <col min="1799" max="1799" width="16.7109375" style="4" bestFit="1" customWidth="1"/>
    <col min="1800" max="1800" width="18" style="4" bestFit="1" customWidth="1"/>
    <col min="1801" max="1801" width="17.7109375" style="4" bestFit="1" customWidth="1"/>
    <col min="1802" max="1802" width="15.7109375" style="4" customWidth="1"/>
    <col min="1803" max="1803" width="16.28515625" style="4" customWidth="1"/>
    <col min="1804" max="1804" width="15.140625" style="4" customWidth="1"/>
    <col min="1805" max="1805" width="14.28515625" style="4" customWidth="1"/>
    <col min="1806" max="1806" width="14.5703125" style="4" bestFit="1" customWidth="1"/>
    <col min="1807" max="2048" width="11.42578125" style="4"/>
    <col min="2049" max="2049" width="2.5703125" style="4" customWidth="1"/>
    <col min="2050" max="2050" width="22.42578125" style="4" customWidth="1"/>
    <col min="2051" max="2051" width="12.140625" style="4" bestFit="1" customWidth="1"/>
    <col min="2052" max="2052" width="8.140625" style="4" customWidth="1"/>
    <col min="2053" max="2053" width="8.5703125" style="4" customWidth="1"/>
    <col min="2054" max="2054" width="17" style="4" bestFit="1" customWidth="1"/>
    <col min="2055" max="2055" width="16.7109375" style="4" bestFit="1" customWidth="1"/>
    <col min="2056" max="2056" width="18" style="4" bestFit="1" customWidth="1"/>
    <col min="2057" max="2057" width="17.7109375" style="4" bestFit="1" customWidth="1"/>
    <col min="2058" max="2058" width="15.7109375" style="4" customWidth="1"/>
    <col min="2059" max="2059" width="16.28515625" style="4" customWidth="1"/>
    <col min="2060" max="2060" width="15.140625" style="4" customWidth="1"/>
    <col min="2061" max="2061" width="14.28515625" style="4" customWidth="1"/>
    <col min="2062" max="2062" width="14.5703125" style="4" bestFit="1" customWidth="1"/>
    <col min="2063" max="2304" width="11.42578125" style="4"/>
    <col min="2305" max="2305" width="2.5703125" style="4" customWidth="1"/>
    <col min="2306" max="2306" width="22.42578125" style="4" customWidth="1"/>
    <col min="2307" max="2307" width="12.140625" style="4" bestFit="1" customWidth="1"/>
    <col min="2308" max="2308" width="8.140625" style="4" customWidth="1"/>
    <col min="2309" max="2309" width="8.5703125" style="4" customWidth="1"/>
    <col min="2310" max="2310" width="17" style="4" bestFit="1" customWidth="1"/>
    <col min="2311" max="2311" width="16.7109375" style="4" bestFit="1" customWidth="1"/>
    <col min="2312" max="2312" width="18" style="4" bestFit="1" customWidth="1"/>
    <col min="2313" max="2313" width="17.7109375" style="4" bestFit="1" customWidth="1"/>
    <col min="2314" max="2314" width="15.7109375" style="4" customWidth="1"/>
    <col min="2315" max="2315" width="16.28515625" style="4" customWidth="1"/>
    <col min="2316" max="2316" width="15.140625" style="4" customWidth="1"/>
    <col min="2317" max="2317" width="14.28515625" style="4" customWidth="1"/>
    <col min="2318" max="2318" width="14.5703125" style="4" bestFit="1" customWidth="1"/>
    <col min="2319" max="2560" width="11.42578125" style="4"/>
    <col min="2561" max="2561" width="2.5703125" style="4" customWidth="1"/>
    <col min="2562" max="2562" width="22.42578125" style="4" customWidth="1"/>
    <col min="2563" max="2563" width="12.140625" style="4" bestFit="1" customWidth="1"/>
    <col min="2564" max="2564" width="8.140625" style="4" customWidth="1"/>
    <col min="2565" max="2565" width="8.5703125" style="4" customWidth="1"/>
    <col min="2566" max="2566" width="17" style="4" bestFit="1" customWidth="1"/>
    <col min="2567" max="2567" width="16.7109375" style="4" bestFit="1" customWidth="1"/>
    <col min="2568" max="2568" width="18" style="4" bestFit="1" customWidth="1"/>
    <col min="2569" max="2569" width="17.7109375" style="4" bestFit="1" customWidth="1"/>
    <col min="2570" max="2570" width="15.7109375" style="4" customWidth="1"/>
    <col min="2571" max="2571" width="16.28515625" style="4" customWidth="1"/>
    <col min="2572" max="2572" width="15.140625" style="4" customWidth="1"/>
    <col min="2573" max="2573" width="14.28515625" style="4" customWidth="1"/>
    <col min="2574" max="2574" width="14.5703125" style="4" bestFit="1" customWidth="1"/>
    <col min="2575" max="2816" width="11.42578125" style="4"/>
    <col min="2817" max="2817" width="2.5703125" style="4" customWidth="1"/>
    <col min="2818" max="2818" width="22.42578125" style="4" customWidth="1"/>
    <col min="2819" max="2819" width="12.140625" style="4" bestFit="1" customWidth="1"/>
    <col min="2820" max="2820" width="8.140625" style="4" customWidth="1"/>
    <col min="2821" max="2821" width="8.5703125" style="4" customWidth="1"/>
    <col min="2822" max="2822" width="17" style="4" bestFit="1" customWidth="1"/>
    <col min="2823" max="2823" width="16.7109375" style="4" bestFit="1" customWidth="1"/>
    <col min="2824" max="2824" width="18" style="4" bestFit="1" customWidth="1"/>
    <col min="2825" max="2825" width="17.7109375" style="4" bestFit="1" customWidth="1"/>
    <col min="2826" max="2826" width="15.7109375" style="4" customWidth="1"/>
    <col min="2827" max="2827" width="16.28515625" style="4" customWidth="1"/>
    <col min="2828" max="2828" width="15.140625" style="4" customWidth="1"/>
    <col min="2829" max="2829" width="14.28515625" style="4" customWidth="1"/>
    <col min="2830" max="2830" width="14.5703125" style="4" bestFit="1" customWidth="1"/>
    <col min="2831" max="3072" width="11.42578125" style="4"/>
    <col min="3073" max="3073" width="2.5703125" style="4" customWidth="1"/>
    <col min="3074" max="3074" width="22.42578125" style="4" customWidth="1"/>
    <col min="3075" max="3075" width="12.140625" style="4" bestFit="1" customWidth="1"/>
    <col min="3076" max="3076" width="8.140625" style="4" customWidth="1"/>
    <col min="3077" max="3077" width="8.5703125" style="4" customWidth="1"/>
    <col min="3078" max="3078" width="17" style="4" bestFit="1" customWidth="1"/>
    <col min="3079" max="3079" width="16.7109375" style="4" bestFit="1" customWidth="1"/>
    <col min="3080" max="3080" width="18" style="4" bestFit="1" customWidth="1"/>
    <col min="3081" max="3081" width="17.7109375" style="4" bestFit="1" customWidth="1"/>
    <col min="3082" max="3082" width="15.7109375" style="4" customWidth="1"/>
    <col min="3083" max="3083" width="16.28515625" style="4" customWidth="1"/>
    <col min="3084" max="3084" width="15.140625" style="4" customWidth="1"/>
    <col min="3085" max="3085" width="14.28515625" style="4" customWidth="1"/>
    <col min="3086" max="3086" width="14.5703125" style="4" bestFit="1" customWidth="1"/>
    <col min="3087" max="3328" width="11.42578125" style="4"/>
    <col min="3329" max="3329" width="2.5703125" style="4" customWidth="1"/>
    <col min="3330" max="3330" width="22.42578125" style="4" customWidth="1"/>
    <col min="3331" max="3331" width="12.140625" style="4" bestFit="1" customWidth="1"/>
    <col min="3332" max="3332" width="8.140625" style="4" customWidth="1"/>
    <col min="3333" max="3333" width="8.5703125" style="4" customWidth="1"/>
    <col min="3334" max="3334" width="17" style="4" bestFit="1" customWidth="1"/>
    <col min="3335" max="3335" width="16.7109375" style="4" bestFit="1" customWidth="1"/>
    <col min="3336" max="3336" width="18" style="4" bestFit="1" customWidth="1"/>
    <col min="3337" max="3337" width="17.7109375" style="4" bestFit="1" customWidth="1"/>
    <col min="3338" max="3338" width="15.7109375" style="4" customWidth="1"/>
    <col min="3339" max="3339" width="16.28515625" style="4" customWidth="1"/>
    <col min="3340" max="3340" width="15.140625" style="4" customWidth="1"/>
    <col min="3341" max="3341" width="14.28515625" style="4" customWidth="1"/>
    <col min="3342" max="3342" width="14.5703125" style="4" bestFit="1" customWidth="1"/>
    <col min="3343" max="3584" width="11.42578125" style="4"/>
    <col min="3585" max="3585" width="2.5703125" style="4" customWidth="1"/>
    <col min="3586" max="3586" width="22.42578125" style="4" customWidth="1"/>
    <col min="3587" max="3587" width="12.140625" style="4" bestFit="1" customWidth="1"/>
    <col min="3588" max="3588" width="8.140625" style="4" customWidth="1"/>
    <col min="3589" max="3589" width="8.5703125" style="4" customWidth="1"/>
    <col min="3590" max="3590" width="17" style="4" bestFit="1" customWidth="1"/>
    <col min="3591" max="3591" width="16.7109375" style="4" bestFit="1" customWidth="1"/>
    <col min="3592" max="3592" width="18" style="4" bestFit="1" customWidth="1"/>
    <col min="3593" max="3593" width="17.7109375" style="4" bestFit="1" customWidth="1"/>
    <col min="3594" max="3594" width="15.7109375" style="4" customWidth="1"/>
    <col min="3595" max="3595" width="16.28515625" style="4" customWidth="1"/>
    <col min="3596" max="3596" width="15.140625" style="4" customWidth="1"/>
    <col min="3597" max="3597" width="14.28515625" style="4" customWidth="1"/>
    <col min="3598" max="3598" width="14.5703125" style="4" bestFit="1" customWidth="1"/>
    <col min="3599" max="3840" width="11.42578125" style="4"/>
    <col min="3841" max="3841" width="2.5703125" style="4" customWidth="1"/>
    <col min="3842" max="3842" width="22.42578125" style="4" customWidth="1"/>
    <col min="3843" max="3843" width="12.140625" style="4" bestFit="1" customWidth="1"/>
    <col min="3844" max="3844" width="8.140625" style="4" customWidth="1"/>
    <col min="3845" max="3845" width="8.5703125" style="4" customWidth="1"/>
    <col min="3846" max="3846" width="17" style="4" bestFit="1" customWidth="1"/>
    <col min="3847" max="3847" width="16.7109375" style="4" bestFit="1" customWidth="1"/>
    <col min="3848" max="3848" width="18" style="4" bestFit="1" customWidth="1"/>
    <col min="3849" max="3849" width="17.7109375" style="4" bestFit="1" customWidth="1"/>
    <col min="3850" max="3850" width="15.7109375" style="4" customWidth="1"/>
    <col min="3851" max="3851" width="16.28515625" style="4" customWidth="1"/>
    <col min="3852" max="3852" width="15.140625" style="4" customWidth="1"/>
    <col min="3853" max="3853" width="14.28515625" style="4" customWidth="1"/>
    <col min="3854" max="3854" width="14.5703125" style="4" bestFit="1" customWidth="1"/>
    <col min="3855" max="4096" width="11.42578125" style="4"/>
    <col min="4097" max="4097" width="2.5703125" style="4" customWidth="1"/>
    <col min="4098" max="4098" width="22.42578125" style="4" customWidth="1"/>
    <col min="4099" max="4099" width="12.140625" style="4" bestFit="1" customWidth="1"/>
    <col min="4100" max="4100" width="8.140625" style="4" customWidth="1"/>
    <col min="4101" max="4101" width="8.5703125" style="4" customWidth="1"/>
    <col min="4102" max="4102" width="17" style="4" bestFit="1" customWidth="1"/>
    <col min="4103" max="4103" width="16.7109375" style="4" bestFit="1" customWidth="1"/>
    <col min="4104" max="4104" width="18" style="4" bestFit="1" customWidth="1"/>
    <col min="4105" max="4105" width="17.7109375" style="4" bestFit="1" customWidth="1"/>
    <col min="4106" max="4106" width="15.7109375" style="4" customWidth="1"/>
    <col min="4107" max="4107" width="16.28515625" style="4" customWidth="1"/>
    <col min="4108" max="4108" width="15.140625" style="4" customWidth="1"/>
    <col min="4109" max="4109" width="14.28515625" style="4" customWidth="1"/>
    <col min="4110" max="4110" width="14.5703125" style="4" bestFit="1" customWidth="1"/>
    <col min="4111" max="4352" width="11.42578125" style="4"/>
    <col min="4353" max="4353" width="2.5703125" style="4" customWidth="1"/>
    <col min="4354" max="4354" width="22.42578125" style="4" customWidth="1"/>
    <col min="4355" max="4355" width="12.140625" style="4" bestFit="1" customWidth="1"/>
    <col min="4356" max="4356" width="8.140625" style="4" customWidth="1"/>
    <col min="4357" max="4357" width="8.5703125" style="4" customWidth="1"/>
    <col min="4358" max="4358" width="17" style="4" bestFit="1" customWidth="1"/>
    <col min="4359" max="4359" width="16.7109375" style="4" bestFit="1" customWidth="1"/>
    <col min="4360" max="4360" width="18" style="4" bestFit="1" customWidth="1"/>
    <col min="4361" max="4361" width="17.7109375" style="4" bestFit="1" customWidth="1"/>
    <col min="4362" max="4362" width="15.7109375" style="4" customWidth="1"/>
    <col min="4363" max="4363" width="16.28515625" style="4" customWidth="1"/>
    <col min="4364" max="4364" width="15.140625" style="4" customWidth="1"/>
    <col min="4365" max="4365" width="14.28515625" style="4" customWidth="1"/>
    <col min="4366" max="4366" width="14.5703125" style="4" bestFit="1" customWidth="1"/>
    <col min="4367" max="4608" width="11.42578125" style="4"/>
    <col min="4609" max="4609" width="2.5703125" style="4" customWidth="1"/>
    <col min="4610" max="4610" width="22.42578125" style="4" customWidth="1"/>
    <col min="4611" max="4611" width="12.140625" style="4" bestFit="1" customWidth="1"/>
    <col min="4612" max="4612" width="8.140625" style="4" customWidth="1"/>
    <col min="4613" max="4613" width="8.5703125" style="4" customWidth="1"/>
    <col min="4614" max="4614" width="17" style="4" bestFit="1" customWidth="1"/>
    <col min="4615" max="4615" width="16.7109375" style="4" bestFit="1" customWidth="1"/>
    <col min="4616" max="4616" width="18" style="4" bestFit="1" customWidth="1"/>
    <col min="4617" max="4617" width="17.7109375" style="4" bestFit="1" customWidth="1"/>
    <col min="4618" max="4618" width="15.7109375" style="4" customWidth="1"/>
    <col min="4619" max="4619" width="16.28515625" style="4" customWidth="1"/>
    <col min="4620" max="4620" width="15.140625" style="4" customWidth="1"/>
    <col min="4621" max="4621" width="14.28515625" style="4" customWidth="1"/>
    <col min="4622" max="4622" width="14.5703125" style="4" bestFit="1" customWidth="1"/>
    <col min="4623" max="4864" width="11.42578125" style="4"/>
    <col min="4865" max="4865" width="2.5703125" style="4" customWidth="1"/>
    <col min="4866" max="4866" width="22.42578125" style="4" customWidth="1"/>
    <col min="4867" max="4867" width="12.140625" style="4" bestFit="1" customWidth="1"/>
    <col min="4868" max="4868" width="8.140625" style="4" customWidth="1"/>
    <col min="4869" max="4869" width="8.5703125" style="4" customWidth="1"/>
    <col min="4870" max="4870" width="17" style="4" bestFit="1" customWidth="1"/>
    <col min="4871" max="4871" width="16.7109375" style="4" bestFit="1" customWidth="1"/>
    <col min="4872" max="4872" width="18" style="4" bestFit="1" customWidth="1"/>
    <col min="4873" max="4873" width="17.7109375" style="4" bestFit="1" customWidth="1"/>
    <col min="4874" max="4874" width="15.7109375" style="4" customWidth="1"/>
    <col min="4875" max="4875" width="16.28515625" style="4" customWidth="1"/>
    <col min="4876" max="4876" width="15.140625" style="4" customWidth="1"/>
    <col min="4877" max="4877" width="14.28515625" style="4" customWidth="1"/>
    <col min="4878" max="4878" width="14.5703125" style="4" bestFit="1" customWidth="1"/>
    <col min="4879" max="5120" width="11.42578125" style="4"/>
    <col min="5121" max="5121" width="2.5703125" style="4" customWidth="1"/>
    <col min="5122" max="5122" width="22.42578125" style="4" customWidth="1"/>
    <col min="5123" max="5123" width="12.140625" style="4" bestFit="1" customWidth="1"/>
    <col min="5124" max="5124" width="8.140625" style="4" customWidth="1"/>
    <col min="5125" max="5125" width="8.5703125" style="4" customWidth="1"/>
    <col min="5126" max="5126" width="17" style="4" bestFit="1" customWidth="1"/>
    <col min="5127" max="5127" width="16.7109375" style="4" bestFit="1" customWidth="1"/>
    <col min="5128" max="5128" width="18" style="4" bestFit="1" customWidth="1"/>
    <col min="5129" max="5129" width="17.7109375" style="4" bestFit="1" customWidth="1"/>
    <col min="5130" max="5130" width="15.7109375" style="4" customWidth="1"/>
    <col min="5131" max="5131" width="16.28515625" style="4" customWidth="1"/>
    <col min="5132" max="5132" width="15.140625" style="4" customWidth="1"/>
    <col min="5133" max="5133" width="14.28515625" style="4" customWidth="1"/>
    <col min="5134" max="5134" width="14.5703125" style="4" bestFit="1" customWidth="1"/>
    <col min="5135" max="5376" width="11.42578125" style="4"/>
    <col min="5377" max="5377" width="2.5703125" style="4" customWidth="1"/>
    <col min="5378" max="5378" width="22.42578125" style="4" customWidth="1"/>
    <col min="5379" max="5379" width="12.140625" style="4" bestFit="1" customWidth="1"/>
    <col min="5380" max="5380" width="8.140625" style="4" customWidth="1"/>
    <col min="5381" max="5381" width="8.5703125" style="4" customWidth="1"/>
    <col min="5382" max="5382" width="17" style="4" bestFit="1" customWidth="1"/>
    <col min="5383" max="5383" width="16.7109375" style="4" bestFit="1" customWidth="1"/>
    <col min="5384" max="5384" width="18" style="4" bestFit="1" customWidth="1"/>
    <col min="5385" max="5385" width="17.7109375" style="4" bestFit="1" customWidth="1"/>
    <col min="5386" max="5386" width="15.7109375" style="4" customWidth="1"/>
    <col min="5387" max="5387" width="16.28515625" style="4" customWidth="1"/>
    <col min="5388" max="5388" width="15.140625" style="4" customWidth="1"/>
    <col min="5389" max="5389" width="14.28515625" style="4" customWidth="1"/>
    <col min="5390" max="5390" width="14.5703125" style="4" bestFit="1" customWidth="1"/>
    <col min="5391" max="5632" width="11.42578125" style="4"/>
    <col min="5633" max="5633" width="2.5703125" style="4" customWidth="1"/>
    <col min="5634" max="5634" width="22.42578125" style="4" customWidth="1"/>
    <col min="5635" max="5635" width="12.140625" style="4" bestFit="1" customWidth="1"/>
    <col min="5636" max="5636" width="8.140625" style="4" customWidth="1"/>
    <col min="5637" max="5637" width="8.5703125" style="4" customWidth="1"/>
    <col min="5638" max="5638" width="17" style="4" bestFit="1" customWidth="1"/>
    <col min="5639" max="5639" width="16.7109375" style="4" bestFit="1" customWidth="1"/>
    <col min="5640" max="5640" width="18" style="4" bestFit="1" customWidth="1"/>
    <col min="5641" max="5641" width="17.7109375" style="4" bestFit="1" customWidth="1"/>
    <col min="5642" max="5642" width="15.7109375" style="4" customWidth="1"/>
    <col min="5643" max="5643" width="16.28515625" style="4" customWidth="1"/>
    <col min="5644" max="5644" width="15.140625" style="4" customWidth="1"/>
    <col min="5645" max="5645" width="14.28515625" style="4" customWidth="1"/>
    <col min="5646" max="5646" width="14.5703125" style="4" bestFit="1" customWidth="1"/>
    <col min="5647" max="5888" width="11.42578125" style="4"/>
    <col min="5889" max="5889" width="2.5703125" style="4" customWidth="1"/>
    <col min="5890" max="5890" width="22.42578125" style="4" customWidth="1"/>
    <col min="5891" max="5891" width="12.140625" style="4" bestFit="1" customWidth="1"/>
    <col min="5892" max="5892" width="8.140625" style="4" customWidth="1"/>
    <col min="5893" max="5893" width="8.5703125" style="4" customWidth="1"/>
    <col min="5894" max="5894" width="17" style="4" bestFit="1" customWidth="1"/>
    <col min="5895" max="5895" width="16.7109375" style="4" bestFit="1" customWidth="1"/>
    <col min="5896" max="5896" width="18" style="4" bestFit="1" customWidth="1"/>
    <col min="5897" max="5897" width="17.7109375" style="4" bestFit="1" customWidth="1"/>
    <col min="5898" max="5898" width="15.7109375" style="4" customWidth="1"/>
    <col min="5899" max="5899" width="16.28515625" style="4" customWidth="1"/>
    <col min="5900" max="5900" width="15.140625" style="4" customWidth="1"/>
    <col min="5901" max="5901" width="14.28515625" style="4" customWidth="1"/>
    <col min="5902" max="5902" width="14.5703125" style="4" bestFit="1" customWidth="1"/>
    <col min="5903" max="6144" width="11.42578125" style="4"/>
    <col min="6145" max="6145" width="2.5703125" style="4" customWidth="1"/>
    <col min="6146" max="6146" width="22.42578125" style="4" customWidth="1"/>
    <col min="6147" max="6147" width="12.140625" style="4" bestFit="1" customWidth="1"/>
    <col min="6148" max="6148" width="8.140625" style="4" customWidth="1"/>
    <col min="6149" max="6149" width="8.5703125" style="4" customWidth="1"/>
    <col min="6150" max="6150" width="17" style="4" bestFit="1" customWidth="1"/>
    <col min="6151" max="6151" width="16.7109375" style="4" bestFit="1" customWidth="1"/>
    <col min="6152" max="6152" width="18" style="4" bestFit="1" customWidth="1"/>
    <col min="6153" max="6153" width="17.7109375" style="4" bestFit="1" customWidth="1"/>
    <col min="6154" max="6154" width="15.7109375" style="4" customWidth="1"/>
    <col min="6155" max="6155" width="16.28515625" style="4" customWidth="1"/>
    <col min="6156" max="6156" width="15.140625" style="4" customWidth="1"/>
    <col min="6157" max="6157" width="14.28515625" style="4" customWidth="1"/>
    <col min="6158" max="6158" width="14.5703125" style="4" bestFit="1" customWidth="1"/>
    <col min="6159" max="6400" width="11.42578125" style="4"/>
    <col min="6401" max="6401" width="2.5703125" style="4" customWidth="1"/>
    <col min="6402" max="6402" width="22.42578125" style="4" customWidth="1"/>
    <col min="6403" max="6403" width="12.140625" style="4" bestFit="1" customWidth="1"/>
    <col min="6404" max="6404" width="8.140625" style="4" customWidth="1"/>
    <col min="6405" max="6405" width="8.5703125" style="4" customWidth="1"/>
    <col min="6406" max="6406" width="17" style="4" bestFit="1" customWidth="1"/>
    <col min="6407" max="6407" width="16.7109375" style="4" bestFit="1" customWidth="1"/>
    <col min="6408" max="6408" width="18" style="4" bestFit="1" customWidth="1"/>
    <col min="6409" max="6409" width="17.7109375" style="4" bestFit="1" customWidth="1"/>
    <col min="6410" max="6410" width="15.7109375" style="4" customWidth="1"/>
    <col min="6411" max="6411" width="16.28515625" style="4" customWidth="1"/>
    <col min="6412" max="6412" width="15.140625" style="4" customWidth="1"/>
    <col min="6413" max="6413" width="14.28515625" style="4" customWidth="1"/>
    <col min="6414" max="6414" width="14.5703125" style="4" bestFit="1" customWidth="1"/>
    <col min="6415" max="6656" width="11.42578125" style="4"/>
    <col min="6657" max="6657" width="2.5703125" style="4" customWidth="1"/>
    <col min="6658" max="6658" width="22.42578125" style="4" customWidth="1"/>
    <col min="6659" max="6659" width="12.140625" style="4" bestFit="1" customWidth="1"/>
    <col min="6660" max="6660" width="8.140625" style="4" customWidth="1"/>
    <col min="6661" max="6661" width="8.5703125" style="4" customWidth="1"/>
    <col min="6662" max="6662" width="17" style="4" bestFit="1" customWidth="1"/>
    <col min="6663" max="6663" width="16.7109375" style="4" bestFit="1" customWidth="1"/>
    <col min="6664" max="6664" width="18" style="4" bestFit="1" customWidth="1"/>
    <col min="6665" max="6665" width="17.7109375" style="4" bestFit="1" customWidth="1"/>
    <col min="6666" max="6666" width="15.7109375" style="4" customWidth="1"/>
    <col min="6667" max="6667" width="16.28515625" style="4" customWidth="1"/>
    <col min="6668" max="6668" width="15.140625" style="4" customWidth="1"/>
    <col min="6669" max="6669" width="14.28515625" style="4" customWidth="1"/>
    <col min="6670" max="6670" width="14.5703125" style="4" bestFit="1" customWidth="1"/>
    <col min="6671" max="6912" width="11.42578125" style="4"/>
    <col min="6913" max="6913" width="2.5703125" style="4" customWidth="1"/>
    <col min="6914" max="6914" width="22.42578125" style="4" customWidth="1"/>
    <col min="6915" max="6915" width="12.140625" style="4" bestFit="1" customWidth="1"/>
    <col min="6916" max="6916" width="8.140625" style="4" customWidth="1"/>
    <col min="6917" max="6917" width="8.5703125" style="4" customWidth="1"/>
    <col min="6918" max="6918" width="17" style="4" bestFit="1" customWidth="1"/>
    <col min="6919" max="6919" width="16.7109375" style="4" bestFit="1" customWidth="1"/>
    <col min="6920" max="6920" width="18" style="4" bestFit="1" customWidth="1"/>
    <col min="6921" max="6921" width="17.7109375" style="4" bestFit="1" customWidth="1"/>
    <col min="6922" max="6922" width="15.7109375" style="4" customWidth="1"/>
    <col min="6923" max="6923" width="16.28515625" style="4" customWidth="1"/>
    <col min="6924" max="6924" width="15.140625" style="4" customWidth="1"/>
    <col min="6925" max="6925" width="14.28515625" style="4" customWidth="1"/>
    <col min="6926" max="6926" width="14.5703125" style="4" bestFit="1" customWidth="1"/>
    <col min="6927" max="7168" width="11.42578125" style="4"/>
    <col min="7169" max="7169" width="2.5703125" style="4" customWidth="1"/>
    <col min="7170" max="7170" width="22.42578125" style="4" customWidth="1"/>
    <col min="7171" max="7171" width="12.140625" style="4" bestFit="1" customWidth="1"/>
    <col min="7172" max="7172" width="8.140625" style="4" customWidth="1"/>
    <col min="7173" max="7173" width="8.5703125" style="4" customWidth="1"/>
    <col min="7174" max="7174" width="17" style="4" bestFit="1" customWidth="1"/>
    <col min="7175" max="7175" width="16.7109375" style="4" bestFit="1" customWidth="1"/>
    <col min="7176" max="7176" width="18" style="4" bestFit="1" customWidth="1"/>
    <col min="7177" max="7177" width="17.7109375" style="4" bestFit="1" customWidth="1"/>
    <col min="7178" max="7178" width="15.7109375" style="4" customWidth="1"/>
    <col min="7179" max="7179" width="16.28515625" style="4" customWidth="1"/>
    <col min="7180" max="7180" width="15.140625" style="4" customWidth="1"/>
    <col min="7181" max="7181" width="14.28515625" style="4" customWidth="1"/>
    <col min="7182" max="7182" width="14.5703125" style="4" bestFit="1" customWidth="1"/>
    <col min="7183" max="7424" width="11.42578125" style="4"/>
    <col min="7425" max="7425" width="2.5703125" style="4" customWidth="1"/>
    <col min="7426" max="7426" width="22.42578125" style="4" customWidth="1"/>
    <col min="7427" max="7427" width="12.140625" style="4" bestFit="1" customWidth="1"/>
    <col min="7428" max="7428" width="8.140625" style="4" customWidth="1"/>
    <col min="7429" max="7429" width="8.5703125" style="4" customWidth="1"/>
    <col min="7430" max="7430" width="17" style="4" bestFit="1" customWidth="1"/>
    <col min="7431" max="7431" width="16.7109375" style="4" bestFit="1" customWidth="1"/>
    <col min="7432" max="7432" width="18" style="4" bestFit="1" customWidth="1"/>
    <col min="7433" max="7433" width="17.7109375" style="4" bestFit="1" customWidth="1"/>
    <col min="7434" max="7434" width="15.7109375" style="4" customWidth="1"/>
    <col min="7435" max="7435" width="16.28515625" style="4" customWidth="1"/>
    <col min="7436" max="7436" width="15.140625" style="4" customWidth="1"/>
    <col min="7437" max="7437" width="14.28515625" style="4" customWidth="1"/>
    <col min="7438" max="7438" width="14.5703125" style="4" bestFit="1" customWidth="1"/>
    <col min="7439" max="7680" width="11.42578125" style="4"/>
    <col min="7681" max="7681" width="2.5703125" style="4" customWidth="1"/>
    <col min="7682" max="7682" width="22.42578125" style="4" customWidth="1"/>
    <col min="7683" max="7683" width="12.140625" style="4" bestFit="1" customWidth="1"/>
    <col min="7684" max="7684" width="8.140625" style="4" customWidth="1"/>
    <col min="7685" max="7685" width="8.5703125" style="4" customWidth="1"/>
    <col min="7686" max="7686" width="17" style="4" bestFit="1" customWidth="1"/>
    <col min="7687" max="7687" width="16.7109375" style="4" bestFit="1" customWidth="1"/>
    <col min="7688" max="7688" width="18" style="4" bestFit="1" customWidth="1"/>
    <col min="7689" max="7689" width="17.7109375" style="4" bestFit="1" customWidth="1"/>
    <col min="7690" max="7690" width="15.7109375" style="4" customWidth="1"/>
    <col min="7691" max="7691" width="16.28515625" style="4" customWidth="1"/>
    <col min="7692" max="7692" width="15.140625" style="4" customWidth="1"/>
    <col min="7693" max="7693" width="14.28515625" style="4" customWidth="1"/>
    <col min="7694" max="7694" width="14.5703125" style="4" bestFit="1" customWidth="1"/>
    <col min="7695" max="7936" width="11.42578125" style="4"/>
    <col min="7937" max="7937" width="2.5703125" style="4" customWidth="1"/>
    <col min="7938" max="7938" width="22.42578125" style="4" customWidth="1"/>
    <col min="7939" max="7939" width="12.140625" style="4" bestFit="1" customWidth="1"/>
    <col min="7940" max="7940" width="8.140625" style="4" customWidth="1"/>
    <col min="7941" max="7941" width="8.5703125" style="4" customWidth="1"/>
    <col min="7942" max="7942" width="17" style="4" bestFit="1" customWidth="1"/>
    <col min="7943" max="7943" width="16.7109375" style="4" bestFit="1" customWidth="1"/>
    <col min="7944" max="7944" width="18" style="4" bestFit="1" customWidth="1"/>
    <col min="7945" max="7945" width="17.7109375" style="4" bestFit="1" customWidth="1"/>
    <col min="7946" max="7946" width="15.7109375" style="4" customWidth="1"/>
    <col min="7947" max="7947" width="16.28515625" style="4" customWidth="1"/>
    <col min="7948" max="7948" width="15.140625" style="4" customWidth="1"/>
    <col min="7949" max="7949" width="14.28515625" style="4" customWidth="1"/>
    <col min="7950" max="7950" width="14.5703125" style="4" bestFit="1" customWidth="1"/>
    <col min="7951" max="8192" width="11.42578125" style="4"/>
    <col min="8193" max="8193" width="2.5703125" style="4" customWidth="1"/>
    <col min="8194" max="8194" width="22.42578125" style="4" customWidth="1"/>
    <col min="8195" max="8195" width="12.140625" style="4" bestFit="1" customWidth="1"/>
    <col min="8196" max="8196" width="8.140625" style="4" customWidth="1"/>
    <col min="8197" max="8197" width="8.5703125" style="4" customWidth="1"/>
    <col min="8198" max="8198" width="17" style="4" bestFit="1" customWidth="1"/>
    <col min="8199" max="8199" width="16.7109375" style="4" bestFit="1" customWidth="1"/>
    <col min="8200" max="8200" width="18" style="4" bestFit="1" customWidth="1"/>
    <col min="8201" max="8201" width="17.7109375" style="4" bestFit="1" customWidth="1"/>
    <col min="8202" max="8202" width="15.7109375" style="4" customWidth="1"/>
    <col min="8203" max="8203" width="16.28515625" style="4" customWidth="1"/>
    <col min="8204" max="8204" width="15.140625" style="4" customWidth="1"/>
    <col min="8205" max="8205" width="14.28515625" style="4" customWidth="1"/>
    <col min="8206" max="8206" width="14.5703125" style="4" bestFit="1" customWidth="1"/>
    <col min="8207" max="8448" width="11.42578125" style="4"/>
    <col min="8449" max="8449" width="2.5703125" style="4" customWidth="1"/>
    <col min="8450" max="8450" width="22.42578125" style="4" customWidth="1"/>
    <col min="8451" max="8451" width="12.140625" style="4" bestFit="1" customWidth="1"/>
    <col min="8452" max="8452" width="8.140625" style="4" customWidth="1"/>
    <col min="8453" max="8453" width="8.5703125" style="4" customWidth="1"/>
    <col min="8454" max="8454" width="17" style="4" bestFit="1" customWidth="1"/>
    <col min="8455" max="8455" width="16.7109375" style="4" bestFit="1" customWidth="1"/>
    <col min="8456" max="8456" width="18" style="4" bestFit="1" customWidth="1"/>
    <col min="8457" max="8457" width="17.7109375" style="4" bestFit="1" customWidth="1"/>
    <col min="8458" max="8458" width="15.7109375" style="4" customWidth="1"/>
    <col min="8459" max="8459" width="16.28515625" style="4" customWidth="1"/>
    <col min="8460" max="8460" width="15.140625" style="4" customWidth="1"/>
    <col min="8461" max="8461" width="14.28515625" style="4" customWidth="1"/>
    <col min="8462" max="8462" width="14.5703125" style="4" bestFit="1" customWidth="1"/>
    <col min="8463" max="8704" width="11.42578125" style="4"/>
    <col min="8705" max="8705" width="2.5703125" style="4" customWidth="1"/>
    <col min="8706" max="8706" width="22.42578125" style="4" customWidth="1"/>
    <col min="8707" max="8707" width="12.140625" style="4" bestFit="1" customWidth="1"/>
    <col min="8708" max="8708" width="8.140625" style="4" customWidth="1"/>
    <col min="8709" max="8709" width="8.5703125" style="4" customWidth="1"/>
    <col min="8710" max="8710" width="17" style="4" bestFit="1" customWidth="1"/>
    <col min="8711" max="8711" width="16.7109375" style="4" bestFit="1" customWidth="1"/>
    <col min="8712" max="8712" width="18" style="4" bestFit="1" customWidth="1"/>
    <col min="8713" max="8713" width="17.7109375" style="4" bestFit="1" customWidth="1"/>
    <col min="8714" max="8714" width="15.7109375" style="4" customWidth="1"/>
    <col min="8715" max="8715" width="16.28515625" style="4" customWidth="1"/>
    <col min="8716" max="8716" width="15.140625" style="4" customWidth="1"/>
    <col min="8717" max="8717" width="14.28515625" style="4" customWidth="1"/>
    <col min="8718" max="8718" width="14.5703125" style="4" bestFit="1" customWidth="1"/>
    <col min="8719" max="8960" width="11.42578125" style="4"/>
    <col min="8961" max="8961" width="2.5703125" style="4" customWidth="1"/>
    <col min="8962" max="8962" width="22.42578125" style="4" customWidth="1"/>
    <col min="8963" max="8963" width="12.140625" style="4" bestFit="1" customWidth="1"/>
    <col min="8964" max="8964" width="8.140625" style="4" customWidth="1"/>
    <col min="8965" max="8965" width="8.5703125" style="4" customWidth="1"/>
    <col min="8966" max="8966" width="17" style="4" bestFit="1" customWidth="1"/>
    <col min="8967" max="8967" width="16.7109375" style="4" bestFit="1" customWidth="1"/>
    <col min="8968" max="8968" width="18" style="4" bestFit="1" customWidth="1"/>
    <col min="8969" max="8969" width="17.7109375" style="4" bestFit="1" customWidth="1"/>
    <col min="8970" max="8970" width="15.7109375" style="4" customWidth="1"/>
    <col min="8971" max="8971" width="16.28515625" style="4" customWidth="1"/>
    <col min="8972" max="8972" width="15.140625" style="4" customWidth="1"/>
    <col min="8973" max="8973" width="14.28515625" style="4" customWidth="1"/>
    <col min="8974" max="8974" width="14.5703125" style="4" bestFit="1" customWidth="1"/>
    <col min="8975" max="9216" width="11.42578125" style="4"/>
    <col min="9217" max="9217" width="2.5703125" style="4" customWidth="1"/>
    <col min="9218" max="9218" width="22.42578125" style="4" customWidth="1"/>
    <col min="9219" max="9219" width="12.140625" style="4" bestFit="1" customWidth="1"/>
    <col min="9220" max="9220" width="8.140625" style="4" customWidth="1"/>
    <col min="9221" max="9221" width="8.5703125" style="4" customWidth="1"/>
    <col min="9222" max="9222" width="17" style="4" bestFit="1" customWidth="1"/>
    <col min="9223" max="9223" width="16.7109375" style="4" bestFit="1" customWidth="1"/>
    <col min="9224" max="9224" width="18" style="4" bestFit="1" customWidth="1"/>
    <col min="9225" max="9225" width="17.7109375" style="4" bestFit="1" customWidth="1"/>
    <col min="9226" max="9226" width="15.7109375" style="4" customWidth="1"/>
    <col min="9227" max="9227" width="16.28515625" style="4" customWidth="1"/>
    <col min="9228" max="9228" width="15.140625" style="4" customWidth="1"/>
    <col min="9229" max="9229" width="14.28515625" style="4" customWidth="1"/>
    <col min="9230" max="9230" width="14.5703125" style="4" bestFit="1" customWidth="1"/>
    <col min="9231" max="9472" width="11.42578125" style="4"/>
    <col min="9473" max="9473" width="2.5703125" style="4" customWidth="1"/>
    <col min="9474" max="9474" width="22.42578125" style="4" customWidth="1"/>
    <col min="9475" max="9475" width="12.140625" style="4" bestFit="1" customWidth="1"/>
    <col min="9476" max="9476" width="8.140625" style="4" customWidth="1"/>
    <col min="9477" max="9477" width="8.5703125" style="4" customWidth="1"/>
    <col min="9478" max="9478" width="17" style="4" bestFit="1" customWidth="1"/>
    <col min="9479" max="9479" width="16.7109375" style="4" bestFit="1" customWidth="1"/>
    <col min="9480" max="9480" width="18" style="4" bestFit="1" customWidth="1"/>
    <col min="9481" max="9481" width="17.7109375" style="4" bestFit="1" customWidth="1"/>
    <col min="9482" max="9482" width="15.7109375" style="4" customWidth="1"/>
    <col min="9483" max="9483" width="16.28515625" style="4" customWidth="1"/>
    <col min="9484" max="9484" width="15.140625" style="4" customWidth="1"/>
    <col min="9485" max="9485" width="14.28515625" style="4" customWidth="1"/>
    <col min="9486" max="9486" width="14.5703125" style="4" bestFit="1" customWidth="1"/>
    <col min="9487" max="9728" width="11.42578125" style="4"/>
    <col min="9729" max="9729" width="2.5703125" style="4" customWidth="1"/>
    <col min="9730" max="9730" width="22.42578125" style="4" customWidth="1"/>
    <col min="9731" max="9731" width="12.140625" style="4" bestFit="1" customWidth="1"/>
    <col min="9732" max="9732" width="8.140625" style="4" customWidth="1"/>
    <col min="9733" max="9733" width="8.5703125" style="4" customWidth="1"/>
    <col min="9734" max="9734" width="17" style="4" bestFit="1" customWidth="1"/>
    <col min="9735" max="9735" width="16.7109375" style="4" bestFit="1" customWidth="1"/>
    <col min="9736" max="9736" width="18" style="4" bestFit="1" customWidth="1"/>
    <col min="9737" max="9737" width="17.7109375" style="4" bestFit="1" customWidth="1"/>
    <col min="9738" max="9738" width="15.7109375" style="4" customWidth="1"/>
    <col min="9739" max="9739" width="16.28515625" style="4" customWidth="1"/>
    <col min="9740" max="9740" width="15.140625" style="4" customWidth="1"/>
    <col min="9741" max="9741" width="14.28515625" style="4" customWidth="1"/>
    <col min="9742" max="9742" width="14.5703125" style="4" bestFit="1" customWidth="1"/>
    <col min="9743" max="9984" width="11.42578125" style="4"/>
    <col min="9985" max="9985" width="2.5703125" style="4" customWidth="1"/>
    <col min="9986" max="9986" width="22.42578125" style="4" customWidth="1"/>
    <col min="9987" max="9987" width="12.140625" style="4" bestFit="1" customWidth="1"/>
    <col min="9988" max="9988" width="8.140625" style="4" customWidth="1"/>
    <col min="9989" max="9989" width="8.5703125" style="4" customWidth="1"/>
    <col min="9990" max="9990" width="17" style="4" bestFit="1" customWidth="1"/>
    <col min="9991" max="9991" width="16.7109375" style="4" bestFit="1" customWidth="1"/>
    <col min="9992" max="9992" width="18" style="4" bestFit="1" customWidth="1"/>
    <col min="9993" max="9993" width="17.7109375" style="4" bestFit="1" customWidth="1"/>
    <col min="9994" max="9994" width="15.7109375" style="4" customWidth="1"/>
    <col min="9995" max="9995" width="16.28515625" style="4" customWidth="1"/>
    <col min="9996" max="9996" width="15.140625" style="4" customWidth="1"/>
    <col min="9997" max="9997" width="14.28515625" style="4" customWidth="1"/>
    <col min="9998" max="9998" width="14.5703125" style="4" bestFit="1" customWidth="1"/>
    <col min="9999" max="10240" width="11.42578125" style="4"/>
    <col min="10241" max="10241" width="2.5703125" style="4" customWidth="1"/>
    <col min="10242" max="10242" width="22.42578125" style="4" customWidth="1"/>
    <col min="10243" max="10243" width="12.140625" style="4" bestFit="1" customWidth="1"/>
    <col min="10244" max="10244" width="8.140625" style="4" customWidth="1"/>
    <col min="10245" max="10245" width="8.5703125" style="4" customWidth="1"/>
    <col min="10246" max="10246" width="17" style="4" bestFit="1" customWidth="1"/>
    <col min="10247" max="10247" width="16.7109375" style="4" bestFit="1" customWidth="1"/>
    <col min="10248" max="10248" width="18" style="4" bestFit="1" customWidth="1"/>
    <col min="10249" max="10249" width="17.7109375" style="4" bestFit="1" customWidth="1"/>
    <col min="10250" max="10250" width="15.7109375" style="4" customWidth="1"/>
    <col min="10251" max="10251" width="16.28515625" style="4" customWidth="1"/>
    <col min="10252" max="10252" width="15.140625" style="4" customWidth="1"/>
    <col min="10253" max="10253" width="14.28515625" style="4" customWidth="1"/>
    <col min="10254" max="10254" width="14.5703125" style="4" bestFit="1" customWidth="1"/>
    <col min="10255" max="10496" width="11.42578125" style="4"/>
    <col min="10497" max="10497" width="2.5703125" style="4" customWidth="1"/>
    <col min="10498" max="10498" width="22.42578125" style="4" customWidth="1"/>
    <col min="10499" max="10499" width="12.140625" style="4" bestFit="1" customWidth="1"/>
    <col min="10500" max="10500" width="8.140625" style="4" customWidth="1"/>
    <col min="10501" max="10501" width="8.5703125" style="4" customWidth="1"/>
    <col min="10502" max="10502" width="17" style="4" bestFit="1" customWidth="1"/>
    <col min="10503" max="10503" width="16.7109375" style="4" bestFit="1" customWidth="1"/>
    <col min="10504" max="10504" width="18" style="4" bestFit="1" customWidth="1"/>
    <col min="10505" max="10505" width="17.7109375" style="4" bestFit="1" customWidth="1"/>
    <col min="10506" max="10506" width="15.7109375" style="4" customWidth="1"/>
    <col min="10507" max="10507" width="16.28515625" style="4" customWidth="1"/>
    <col min="10508" max="10508" width="15.140625" style="4" customWidth="1"/>
    <col min="10509" max="10509" width="14.28515625" style="4" customWidth="1"/>
    <col min="10510" max="10510" width="14.5703125" style="4" bestFit="1" customWidth="1"/>
    <col min="10511" max="10752" width="11.42578125" style="4"/>
    <col min="10753" max="10753" width="2.5703125" style="4" customWidth="1"/>
    <col min="10754" max="10754" width="22.42578125" style="4" customWidth="1"/>
    <col min="10755" max="10755" width="12.140625" style="4" bestFit="1" customWidth="1"/>
    <col min="10756" max="10756" width="8.140625" style="4" customWidth="1"/>
    <col min="10757" max="10757" width="8.5703125" style="4" customWidth="1"/>
    <col min="10758" max="10758" width="17" style="4" bestFit="1" customWidth="1"/>
    <col min="10759" max="10759" width="16.7109375" style="4" bestFit="1" customWidth="1"/>
    <col min="10760" max="10760" width="18" style="4" bestFit="1" customWidth="1"/>
    <col min="10761" max="10761" width="17.7109375" style="4" bestFit="1" customWidth="1"/>
    <col min="10762" max="10762" width="15.7109375" style="4" customWidth="1"/>
    <col min="10763" max="10763" width="16.28515625" style="4" customWidth="1"/>
    <col min="10764" max="10764" width="15.140625" style="4" customWidth="1"/>
    <col min="10765" max="10765" width="14.28515625" style="4" customWidth="1"/>
    <col min="10766" max="10766" width="14.5703125" style="4" bestFit="1" customWidth="1"/>
    <col min="10767" max="11008" width="11.42578125" style="4"/>
    <col min="11009" max="11009" width="2.5703125" style="4" customWidth="1"/>
    <col min="11010" max="11010" width="22.42578125" style="4" customWidth="1"/>
    <col min="11011" max="11011" width="12.140625" style="4" bestFit="1" customWidth="1"/>
    <col min="11012" max="11012" width="8.140625" style="4" customWidth="1"/>
    <col min="11013" max="11013" width="8.5703125" style="4" customWidth="1"/>
    <col min="11014" max="11014" width="17" style="4" bestFit="1" customWidth="1"/>
    <col min="11015" max="11015" width="16.7109375" style="4" bestFit="1" customWidth="1"/>
    <col min="11016" max="11016" width="18" style="4" bestFit="1" customWidth="1"/>
    <col min="11017" max="11017" width="17.7109375" style="4" bestFit="1" customWidth="1"/>
    <col min="11018" max="11018" width="15.7109375" style="4" customWidth="1"/>
    <col min="11019" max="11019" width="16.28515625" style="4" customWidth="1"/>
    <col min="11020" max="11020" width="15.140625" style="4" customWidth="1"/>
    <col min="11021" max="11021" width="14.28515625" style="4" customWidth="1"/>
    <col min="11022" max="11022" width="14.5703125" style="4" bestFit="1" customWidth="1"/>
    <col min="11023" max="11264" width="11.42578125" style="4"/>
    <col min="11265" max="11265" width="2.5703125" style="4" customWidth="1"/>
    <col min="11266" max="11266" width="22.42578125" style="4" customWidth="1"/>
    <col min="11267" max="11267" width="12.140625" style="4" bestFit="1" customWidth="1"/>
    <col min="11268" max="11268" width="8.140625" style="4" customWidth="1"/>
    <col min="11269" max="11269" width="8.5703125" style="4" customWidth="1"/>
    <col min="11270" max="11270" width="17" style="4" bestFit="1" customWidth="1"/>
    <col min="11271" max="11271" width="16.7109375" style="4" bestFit="1" customWidth="1"/>
    <col min="11272" max="11272" width="18" style="4" bestFit="1" customWidth="1"/>
    <col min="11273" max="11273" width="17.7109375" style="4" bestFit="1" customWidth="1"/>
    <col min="11274" max="11274" width="15.7109375" style="4" customWidth="1"/>
    <col min="11275" max="11275" width="16.28515625" style="4" customWidth="1"/>
    <col min="11276" max="11276" width="15.140625" style="4" customWidth="1"/>
    <col min="11277" max="11277" width="14.28515625" style="4" customWidth="1"/>
    <col min="11278" max="11278" width="14.5703125" style="4" bestFit="1" customWidth="1"/>
    <col min="11279" max="11520" width="11.42578125" style="4"/>
    <col min="11521" max="11521" width="2.5703125" style="4" customWidth="1"/>
    <col min="11522" max="11522" width="22.42578125" style="4" customWidth="1"/>
    <col min="11523" max="11523" width="12.140625" style="4" bestFit="1" customWidth="1"/>
    <col min="11524" max="11524" width="8.140625" style="4" customWidth="1"/>
    <col min="11525" max="11525" width="8.5703125" style="4" customWidth="1"/>
    <col min="11526" max="11526" width="17" style="4" bestFit="1" customWidth="1"/>
    <col min="11527" max="11527" width="16.7109375" style="4" bestFit="1" customWidth="1"/>
    <col min="11528" max="11528" width="18" style="4" bestFit="1" customWidth="1"/>
    <col min="11529" max="11529" width="17.7109375" style="4" bestFit="1" customWidth="1"/>
    <col min="11530" max="11530" width="15.7109375" style="4" customWidth="1"/>
    <col min="11531" max="11531" width="16.28515625" style="4" customWidth="1"/>
    <col min="11532" max="11532" width="15.140625" style="4" customWidth="1"/>
    <col min="11533" max="11533" width="14.28515625" style="4" customWidth="1"/>
    <col min="11534" max="11534" width="14.5703125" style="4" bestFit="1" customWidth="1"/>
    <col min="11535" max="11776" width="11.42578125" style="4"/>
    <col min="11777" max="11777" width="2.5703125" style="4" customWidth="1"/>
    <col min="11778" max="11778" width="22.42578125" style="4" customWidth="1"/>
    <col min="11779" max="11779" width="12.140625" style="4" bestFit="1" customWidth="1"/>
    <col min="11780" max="11780" width="8.140625" style="4" customWidth="1"/>
    <col min="11781" max="11781" width="8.5703125" style="4" customWidth="1"/>
    <col min="11782" max="11782" width="17" style="4" bestFit="1" customWidth="1"/>
    <col min="11783" max="11783" width="16.7109375" style="4" bestFit="1" customWidth="1"/>
    <col min="11784" max="11784" width="18" style="4" bestFit="1" customWidth="1"/>
    <col min="11785" max="11785" width="17.7109375" style="4" bestFit="1" customWidth="1"/>
    <col min="11786" max="11786" width="15.7109375" style="4" customWidth="1"/>
    <col min="11787" max="11787" width="16.28515625" style="4" customWidth="1"/>
    <col min="11788" max="11788" width="15.140625" style="4" customWidth="1"/>
    <col min="11789" max="11789" width="14.28515625" style="4" customWidth="1"/>
    <col min="11790" max="11790" width="14.5703125" style="4" bestFit="1" customWidth="1"/>
    <col min="11791" max="12032" width="11.42578125" style="4"/>
    <col min="12033" max="12033" width="2.5703125" style="4" customWidth="1"/>
    <col min="12034" max="12034" width="22.42578125" style="4" customWidth="1"/>
    <col min="12035" max="12035" width="12.140625" style="4" bestFit="1" customWidth="1"/>
    <col min="12036" max="12036" width="8.140625" style="4" customWidth="1"/>
    <col min="12037" max="12037" width="8.5703125" style="4" customWidth="1"/>
    <col min="12038" max="12038" width="17" style="4" bestFit="1" customWidth="1"/>
    <col min="12039" max="12039" width="16.7109375" style="4" bestFit="1" customWidth="1"/>
    <col min="12040" max="12040" width="18" style="4" bestFit="1" customWidth="1"/>
    <col min="12041" max="12041" width="17.7109375" style="4" bestFit="1" customWidth="1"/>
    <col min="12042" max="12042" width="15.7109375" style="4" customWidth="1"/>
    <col min="12043" max="12043" width="16.28515625" style="4" customWidth="1"/>
    <col min="12044" max="12044" width="15.140625" style="4" customWidth="1"/>
    <col min="12045" max="12045" width="14.28515625" style="4" customWidth="1"/>
    <col min="12046" max="12046" width="14.5703125" style="4" bestFit="1" customWidth="1"/>
    <col min="12047" max="12288" width="11.42578125" style="4"/>
    <col min="12289" max="12289" width="2.5703125" style="4" customWidth="1"/>
    <col min="12290" max="12290" width="22.42578125" style="4" customWidth="1"/>
    <col min="12291" max="12291" width="12.140625" style="4" bestFit="1" customWidth="1"/>
    <col min="12292" max="12292" width="8.140625" style="4" customWidth="1"/>
    <col min="12293" max="12293" width="8.5703125" style="4" customWidth="1"/>
    <col min="12294" max="12294" width="17" style="4" bestFit="1" customWidth="1"/>
    <col min="12295" max="12295" width="16.7109375" style="4" bestFit="1" customWidth="1"/>
    <col min="12296" max="12296" width="18" style="4" bestFit="1" customWidth="1"/>
    <col min="12297" max="12297" width="17.7109375" style="4" bestFit="1" customWidth="1"/>
    <col min="12298" max="12298" width="15.7109375" style="4" customWidth="1"/>
    <col min="12299" max="12299" width="16.28515625" style="4" customWidth="1"/>
    <col min="12300" max="12300" width="15.140625" style="4" customWidth="1"/>
    <col min="12301" max="12301" width="14.28515625" style="4" customWidth="1"/>
    <col min="12302" max="12302" width="14.5703125" style="4" bestFit="1" customWidth="1"/>
    <col min="12303" max="12544" width="11.42578125" style="4"/>
    <col min="12545" max="12545" width="2.5703125" style="4" customWidth="1"/>
    <col min="12546" max="12546" width="22.42578125" style="4" customWidth="1"/>
    <col min="12547" max="12547" width="12.140625" style="4" bestFit="1" customWidth="1"/>
    <col min="12548" max="12548" width="8.140625" style="4" customWidth="1"/>
    <col min="12549" max="12549" width="8.5703125" style="4" customWidth="1"/>
    <col min="12550" max="12550" width="17" style="4" bestFit="1" customWidth="1"/>
    <col min="12551" max="12551" width="16.7109375" style="4" bestFit="1" customWidth="1"/>
    <col min="12552" max="12552" width="18" style="4" bestFit="1" customWidth="1"/>
    <col min="12553" max="12553" width="17.7109375" style="4" bestFit="1" customWidth="1"/>
    <col min="12554" max="12554" width="15.7109375" style="4" customWidth="1"/>
    <col min="12555" max="12555" width="16.28515625" style="4" customWidth="1"/>
    <col min="12556" max="12556" width="15.140625" style="4" customWidth="1"/>
    <col min="12557" max="12557" width="14.28515625" style="4" customWidth="1"/>
    <col min="12558" max="12558" width="14.5703125" style="4" bestFit="1" customWidth="1"/>
    <col min="12559" max="12800" width="11.42578125" style="4"/>
    <col min="12801" max="12801" width="2.5703125" style="4" customWidth="1"/>
    <col min="12802" max="12802" width="22.42578125" style="4" customWidth="1"/>
    <col min="12803" max="12803" width="12.140625" style="4" bestFit="1" customWidth="1"/>
    <col min="12804" max="12804" width="8.140625" style="4" customWidth="1"/>
    <col min="12805" max="12805" width="8.5703125" style="4" customWidth="1"/>
    <col min="12806" max="12806" width="17" style="4" bestFit="1" customWidth="1"/>
    <col min="12807" max="12807" width="16.7109375" style="4" bestFit="1" customWidth="1"/>
    <col min="12808" max="12808" width="18" style="4" bestFit="1" customWidth="1"/>
    <col min="12809" max="12809" width="17.7109375" style="4" bestFit="1" customWidth="1"/>
    <col min="12810" max="12810" width="15.7109375" style="4" customWidth="1"/>
    <col min="12811" max="12811" width="16.28515625" style="4" customWidth="1"/>
    <col min="12812" max="12812" width="15.140625" style="4" customWidth="1"/>
    <col min="12813" max="12813" width="14.28515625" style="4" customWidth="1"/>
    <col min="12814" max="12814" width="14.5703125" style="4" bestFit="1" customWidth="1"/>
    <col min="12815" max="13056" width="11.42578125" style="4"/>
    <col min="13057" max="13057" width="2.5703125" style="4" customWidth="1"/>
    <col min="13058" max="13058" width="22.42578125" style="4" customWidth="1"/>
    <col min="13059" max="13059" width="12.140625" style="4" bestFit="1" customWidth="1"/>
    <col min="13060" max="13060" width="8.140625" style="4" customWidth="1"/>
    <col min="13061" max="13061" width="8.5703125" style="4" customWidth="1"/>
    <col min="13062" max="13062" width="17" style="4" bestFit="1" customWidth="1"/>
    <col min="13063" max="13063" width="16.7109375" style="4" bestFit="1" customWidth="1"/>
    <col min="13064" max="13064" width="18" style="4" bestFit="1" customWidth="1"/>
    <col min="13065" max="13065" width="17.7109375" style="4" bestFit="1" customWidth="1"/>
    <col min="13066" max="13066" width="15.7109375" style="4" customWidth="1"/>
    <col min="13067" max="13067" width="16.28515625" style="4" customWidth="1"/>
    <col min="13068" max="13068" width="15.140625" style="4" customWidth="1"/>
    <col min="13069" max="13069" width="14.28515625" style="4" customWidth="1"/>
    <col min="13070" max="13070" width="14.5703125" style="4" bestFit="1" customWidth="1"/>
    <col min="13071" max="13312" width="11.42578125" style="4"/>
    <col min="13313" max="13313" width="2.5703125" style="4" customWidth="1"/>
    <col min="13314" max="13314" width="22.42578125" style="4" customWidth="1"/>
    <col min="13315" max="13315" width="12.140625" style="4" bestFit="1" customWidth="1"/>
    <col min="13316" max="13316" width="8.140625" style="4" customWidth="1"/>
    <col min="13317" max="13317" width="8.5703125" style="4" customWidth="1"/>
    <col min="13318" max="13318" width="17" style="4" bestFit="1" customWidth="1"/>
    <col min="13319" max="13319" width="16.7109375" style="4" bestFit="1" customWidth="1"/>
    <col min="13320" max="13320" width="18" style="4" bestFit="1" customWidth="1"/>
    <col min="13321" max="13321" width="17.7109375" style="4" bestFit="1" customWidth="1"/>
    <col min="13322" max="13322" width="15.7109375" style="4" customWidth="1"/>
    <col min="13323" max="13323" width="16.28515625" style="4" customWidth="1"/>
    <col min="13324" max="13324" width="15.140625" style="4" customWidth="1"/>
    <col min="13325" max="13325" width="14.28515625" style="4" customWidth="1"/>
    <col min="13326" max="13326" width="14.5703125" style="4" bestFit="1" customWidth="1"/>
    <col min="13327" max="13568" width="11.42578125" style="4"/>
    <col min="13569" max="13569" width="2.5703125" style="4" customWidth="1"/>
    <col min="13570" max="13570" width="22.42578125" style="4" customWidth="1"/>
    <col min="13571" max="13571" width="12.140625" style="4" bestFit="1" customWidth="1"/>
    <col min="13572" max="13572" width="8.140625" style="4" customWidth="1"/>
    <col min="13573" max="13573" width="8.5703125" style="4" customWidth="1"/>
    <col min="13574" max="13574" width="17" style="4" bestFit="1" customWidth="1"/>
    <col min="13575" max="13575" width="16.7109375" style="4" bestFit="1" customWidth="1"/>
    <col min="13576" max="13576" width="18" style="4" bestFit="1" customWidth="1"/>
    <col min="13577" max="13577" width="17.7109375" style="4" bestFit="1" customWidth="1"/>
    <col min="13578" max="13578" width="15.7109375" style="4" customWidth="1"/>
    <col min="13579" max="13579" width="16.28515625" style="4" customWidth="1"/>
    <col min="13580" max="13580" width="15.140625" style="4" customWidth="1"/>
    <col min="13581" max="13581" width="14.28515625" style="4" customWidth="1"/>
    <col min="13582" max="13582" width="14.5703125" style="4" bestFit="1" customWidth="1"/>
    <col min="13583" max="13824" width="11.42578125" style="4"/>
    <col min="13825" max="13825" width="2.5703125" style="4" customWidth="1"/>
    <col min="13826" max="13826" width="22.42578125" style="4" customWidth="1"/>
    <col min="13827" max="13827" width="12.140625" style="4" bestFit="1" customWidth="1"/>
    <col min="13828" max="13828" width="8.140625" style="4" customWidth="1"/>
    <col min="13829" max="13829" width="8.5703125" style="4" customWidth="1"/>
    <col min="13830" max="13830" width="17" style="4" bestFit="1" customWidth="1"/>
    <col min="13831" max="13831" width="16.7109375" style="4" bestFit="1" customWidth="1"/>
    <col min="13832" max="13832" width="18" style="4" bestFit="1" customWidth="1"/>
    <col min="13833" max="13833" width="17.7109375" style="4" bestFit="1" customWidth="1"/>
    <col min="13834" max="13834" width="15.7109375" style="4" customWidth="1"/>
    <col min="13835" max="13835" width="16.28515625" style="4" customWidth="1"/>
    <col min="13836" max="13836" width="15.140625" style="4" customWidth="1"/>
    <col min="13837" max="13837" width="14.28515625" style="4" customWidth="1"/>
    <col min="13838" max="13838" width="14.5703125" style="4" bestFit="1" customWidth="1"/>
    <col min="13839" max="14080" width="11.42578125" style="4"/>
    <col min="14081" max="14081" width="2.5703125" style="4" customWidth="1"/>
    <col min="14082" max="14082" width="22.42578125" style="4" customWidth="1"/>
    <col min="14083" max="14083" width="12.140625" style="4" bestFit="1" customWidth="1"/>
    <col min="14084" max="14084" width="8.140625" style="4" customWidth="1"/>
    <col min="14085" max="14085" width="8.5703125" style="4" customWidth="1"/>
    <col min="14086" max="14086" width="17" style="4" bestFit="1" customWidth="1"/>
    <col min="14087" max="14087" width="16.7109375" style="4" bestFit="1" customWidth="1"/>
    <col min="14088" max="14088" width="18" style="4" bestFit="1" customWidth="1"/>
    <col min="14089" max="14089" width="17.7109375" style="4" bestFit="1" customWidth="1"/>
    <col min="14090" max="14090" width="15.7109375" style="4" customWidth="1"/>
    <col min="14091" max="14091" width="16.28515625" style="4" customWidth="1"/>
    <col min="14092" max="14092" width="15.140625" style="4" customWidth="1"/>
    <col min="14093" max="14093" width="14.28515625" style="4" customWidth="1"/>
    <col min="14094" max="14094" width="14.5703125" style="4" bestFit="1" customWidth="1"/>
    <col min="14095" max="14336" width="11.42578125" style="4"/>
    <col min="14337" max="14337" width="2.5703125" style="4" customWidth="1"/>
    <col min="14338" max="14338" width="22.42578125" style="4" customWidth="1"/>
    <col min="14339" max="14339" width="12.140625" style="4" bestFit="1" customWidth="1"/>
    <col min="14340" max="14340" width="8.140625" style="4" customWidth="1"/>
    <col min="14341" max="14341" width="8.5703125" style="4" customWidth="1"/>
    <col min="14342" max="14342" width="17" style="4" bestFit="1" customWidth="1"/>
    <col min="14343" max="14343" width="16.7109375" style="4" bestFit="1" customWidth="1"/>
    <col min="14344" max="14344" width="18" style="4" bestFit="1" customWidth="1"/>
    <col min="14345" max="14345" width="17.7109375" style="4" bestFit="1" customWidth="1"/>
    <col min="14346" max="14346" width="15.7109375" style="4" customWidth="1"/>
    <col min="14347" max="14347" width="16.28515625" style="4" customWidth="1"/>
    <col min="14348" max="14348" width="15.140625" style="4" customWidth="1"/>
    <col min="14349" max="14349" width="14.28515625" style="4" customWidth="1"/>
    <col min="14350" max="14350" width="14.5703125" style="4" bestFit="1" customWidth="1"/>
    <col min="14351" max="14592" width="11.42578125" style="4"/>
    <col min="14593" max="14593" width="2.5703125" style="4" customWidth="1"/>
    <col min="14594" max="14594" width="22.42578125" style="4" customWidth="1"/>
    <col min="14595" max="14595" width="12.140625" style="4" bestFit="1" customWidth="1"/>
    <col min="14596" max="14596" width="8.140625" style="4" customWidth="1"/>
    <col min="14597" max="14597" width="8.5703125" style="4" customWidth="1"/>
    <col min="14598" max="14598" width="17" style="4" bestFit="1" customWidth="1"/>
    <col min="14599" max="14599" width="16.7109375" style="4" bestFit="1" customWidth="1"/>
    <col min="14600" max="14600" width="18" style="4" bestFit="1" customWidth="1"/>
    <col min="14601" max="14601" width="17.7109375" style="4" bestFit="1" customWidth="1"/>
    <col min="14602" max="14602" width="15.7109375" style="4" customWidth="1"/>
    <col min="14603" max="14603" width="16.28515625" style="4" customWidth="1"/>
    <col min="14604" max="14604" width="15.140625" style="4" customWidth="1"/>
    <col min="14605" max="14605" width="14.28515625" style="4" customWidth="1"/>
    <col min="14606" max="14606" width="14.5703125" style="4" bestFit="1" customWidth="1"/>
    <col min="14607" max="14848" width="11.42578125" style="4"/>
    <col min="14849" max="14849" width="2.5703125" style="4" customWidth="1"/>
    <col min="14850" max="14850" width="22.42578125" style="4" customWidth="1"/>
    <col min="14851" max="14851" width="12.140625" style="4" bestFit="1" customWidth="1"/>
    <col min="14852" max="14852" width="8.140625" style="4" customWidth="1"/>
    <col min="14853" max="14853" width="8.5703125" style="4" customWidth="1"/>
    <col min="14854" max="14854" width="17" style="4" bestFit="1" customWidth="1"/>
    <col min="14855" max="14855" width="16.7109375" style="4" bestFit="1" customWidth="1"/>
    <col min="14856" max="14856" width="18" style="4" bestFit="1" customWidth="1"/>
    <col min="14857" max="14857" width="17.7109375" style="4" bestFit="1" customWidth="1"/>
    <col min="14858" max="14858" width="15.7109375" style="4" customWidth="1"/>
    <col min="14859" max="14859" width="16.28515625" style="4" customWidth="1"/>
    <col min="14860" max="14860" width="15.140625" style="4" customWidth="1"/>
    <col min="14861" max="14861" width="14.28515625" style="4" customWidth="1"/>
    <col min="14862" max="14862" width="14.5703125" style="4" bestFit="1" customWidth="1"/>
    <col min="14863" max="15104" width="11.42578125" style="4"/>
    <col min="15105" max="15105" width="2.5703125" style="4" customWidth="1"/>
    <col min="15106" max="15106" width="22.42578125" style="4" customWidth="1"/>
    <col min="15107" max="15107" width="12.140625" style="4" bestFit="1" customWidth="1"/>
    <col min="15108" max="15108" width="8.140625" style="4" customWidth="1"/>
    <col min="15109" max="15109" width="8.5703125" style="4" customWidth="1"/>
    <col min="15110" max="15110" width="17" style="4" bestFit="1" customWidth="1"/>
    <col min="15111" max="15111" width="16.7109375" style="4" bestFit="1" customWidth="1"/>
    <col min="15112" max="15112" width="18" style="4" bestFit="1" customWidth="1"/>
    <col min="15113" max="15113" width="17.7109375" style="4" bestFit="1" customWidth="1"/>
    <col min="15114" max="15114" width="15.7109375" style="4" customWidth="1"/>
    <col min="15115" max="15115" width="16.28515625" style="4" customWidth="1"/>
    <col min="15116" max="15116" width="15.140625" style="4" customWidth="1"/>
    <col min="15117" max="15117" width="14.28515625" style="4" customWidth="1"/>
    <col min="15118" max="15118" width="14.5703125" style="4" bestFit="1" customWidth="1"/>
    <col min="15119" max="15360" width="11.42578125" style="4"/>
    <col min="15361" max="15361" width="2.5703125" style="4" customWidth="1"/>
    <col min="15362" max="15362" width="22.42578125" style="4" customWidth="1"/>
    <col min="15363" max="15363" width="12.140625" style="4" bestFit="1" customWidth="1"/>
    <col min="15364" max="15364" width="8.140625" style="4" customWidth="1"/>
    <col min="15365" max="15365" width="8.5703125" style="4" customWidth="1"/>
    <col min="15366" max="15366" width="17" style="4" bestFit="1" customWidth="1"/>
    <col min="15367" max="15367" width="16.7109375" style="4" bestFit="1" customWidth="1"/>
    <col min="15368" max="15368" width="18" style="4" bestFit="1" customWidth="1"/>
    <col min="15369" max="15369" width="17.7109375" style="4" bestFit="1" customWidth="1"/>
    <col min="15370" max="15370" width="15.7109375" style="4" customWidth="1"/>
    <col min="15371" max="15371" width="16.28515625" style="4" customWidth="1"/>
    <col min="15372" max="15372" width="15.140625" style="4" customWidth="1"/>
    <col min="15373" max="15373" width="14.28515625" style="4" customWidth="1"/>
    <col min="15374" max="15374" width="14.5703125" style="4" bestFit="1" customWidth="1"/>
    <col min="15375" max="15616" width="11.42578125" style="4"/>
    <col min="15617" max="15617" width="2.5703125" style="4" customWidth="1"/>
    <col min="15618" max="15618" width="22.42578125" style="4" customWidth="1"/>
    <col min="15619" max="15619" width="12.140625" style="4" bestFit="1" customWidth="1"/>
    <col min="15620" max="15620" width="8.140625" style="4" customWidth="1"/>
    <col min="15621" max="15621" width="8.5703125" style="4" customWidth="1"/>
    <col min="15622" max="15622" width="17" style="4" bestFit="1" customWidth="1"/>
    <col min="15623" max="15623" width="16.7109375" style="4" bestFit="1" customWidth="1"/>
    <col min="15624" max="15624" width="18" style="4" bestFit="1" customWidth="1"/>
    <col min="15625" max="15625" width="17.7109375" style="4" bestFit="1" customWidth="1"/>
    <col min="15626" max="15626" width="15.7109375" style="4" customWidth="1"/>
    <col min="15627" max="15627" width="16.28515625" style="4" customWidth="1"/>
    <col min="15628" max="15628" width="15.140625" style="4" customWidth="1"/>
    <col min="15629" max="15629" width="14.28515625" style="4" customWidth="1"/>
    <col min="15630" max="15630" width="14.5703125" style="4" bestFit="1" customWidth="1"/>
    <col min="15631" max="15872" width="11.42578125" style="4"/>
    <col min="15873" max="15873" width="2.5703125" style="4" customWidth="1"/>
    <col min="15874" max="15874" width="22.42578125" style="4" customWidth="1"/>
    <col min="15875" max="15875" width="12.140625" style="4" bestFit="1" customWidth="1"/>
    <col min="15876" max="15876" width="8.140625" style="4" customWidth="1"/>
    <col min="15877" max="15877" width="8.5703125" style="4" customWidth="1"/>
    <col min="15878" max="15878" width="17" style="4" bestFit="1" customWidth="1"/>
    <col min="15879" max="15879" width="16.7109375" style="4" bestFit="1" customWidth="1"/>
    <col min="15880" max="15880" width="18" style="4" bestFit="1" customWidth="1"/>
    <col min="15881" max="15881" width="17.7109375" style="4" bestFit="1" customWidth="1"/>
    <col min="15882" max="15882" width="15.7109375" style="4" customWidth="1"/>
    <col min="15883" max="15883" width="16.28515625" style="4" customWidth="1"/>
    <col min="15884" max="15884" width="15.140625" style="4" customWidth="1"/>
    <col min="15885" max="15885" width="14.28515625" style="4" customWidth="1"/>
    <col min="15886" max="15886" width="14.5703125" style="4" bestFit="1" customWidth="1"/>
    <col min="15887" max="16128" width="11.42578125" style="4"/>
    <col min="16129" max="16129" width="2.5703125" style="4" customWidth="1"/>
    <col min="16130" max="16130" width="22.42578125" style="4" customWidth="1"/>
    <col min="16131" max="16131" width="12.140625" style="4" bestFit="1" customWidth="1"/>
    <col min="16132" max="16132" width="8.140625" style="4" customWidth="1"/>
    <col min="16133" max="16133" width="8.5703125" style="4" customWidth="1"/>
    <col min="16134" max="16134" width="17" style="4" bestFit="1" customWidth="1"/>
    <col min="16135" max="16135" width="16.7109375" style="4" bestFit="1" customWidth="1"/>
    <col min="16136" max="16136" width="18" style="4" bestFit="1" customWidth="1"/>
    <col min="16137" max="16137" width="17.7109375" style="4" bestFit="1" customWidth="1"/>
    <col min="16138" max="16138" width="15.7109375" style="4" customWidth="1"/>
    <col min="16139" max="16139" width="16.28515625" style="4" customWidth="1"/>
    <col min="16140" max="16140" width="15.140625" style="4" customWidth="1"/>
    <col min="16141" max="16141" width="14.28515625" style="4" customWidth="1"/>
    <col min="16142" max="16142" width="14.5703125" style="4" bestFit="1" customWidth="1"/>
    <col min="16143" max="16384" width="11.42578125" style="4"/>
  </cols>
  <sheetData>
    <row r="1" spans="1:14" x14ac:dyDescent="0.2">
      <c r="A1" s="1" t="s">
        <v>0</v>
      </c>
      <c r="B1" s="1"/>
      <c r="C1" s="2"/>
      <c r="D1" s="2"/>
      <c r="E1" s="3"/>
    </row>
    <row r="2" spans="1:14" x14ac:dyDescent="0.2">
      <c r="A2" s="5" t="s">
        <v>1</v>
      </c>
      <c r="B2" s="5"/>
      <c r="C2" s="2"/>
      <c r="D2" s="2"/>
    </row>
    <row r="3" spans="1:14" x14ac:dyDescent="0.2">
      <c r="A3" s="6" t="s">
        <v>99</v>
      </c>
      <c r="B3" s="5"/>
      <c r="C3" s="2"/>
      <c r="D3" s="2"/>
      <c r="M3" s="7"/>
    </row>
    <row r="4" spans="1:14" x14ac:dyDescent="0.2">
      <c r="A4" s="8" t="s">
        <v>3</v>
      </c>
      <c r="B4" s="8"/>
      <c r="C4" s="9" t="s">
        <v>4</v>
      </c>
      <c r="D4" s="71" t="s">
        <v>5</v>
      </c>
      <c r="E4" s="71"/>
      <c r="F4" s="9" t="s">
        <v>6</v>
      </c>
      <c r="G4" s="10" t="s">
        <v>7</v>
      </c>
      <c r="H4" s="10" t="s">
        <v>8</v>
      </c>
      <c r="I4" s="9" t="s">
        <v>9</v>
      </c>
      <c r="J4" s="9" t="s">
        <v>10</v>
      </c>
      <c r="K4" s="9" t="s">
        <v>10</v>
      </c>
      <c r="L4" s="9" t="s">
        <v>10</v>
      </c>
      <c r="M4" s="9" t="s">
        <v>10</v>
      </c>
      <c r="N4" s="3"/>
    </row>
    <row r="5" spans="1:14" x14ac:dyDescent="0.2">
      <c r="C5" s="11" t="s">
        <v>12</v>
      </c>
      <c r="D5" s="12" t="s">
        <v>13</v>
      </c>
      <c r="E5" s="12" t="s">
        <v>14</v>
      </c>
      <c r="F5" s="11" t="s">
        <v>15</v>
      </c>
      <c r="G5" s="11" t="s">
        <v>16</v>
      </c>
      <c r="H5" s="12" t="s">
        <v>17</v>
      </c>
      <c r="I5" s="12" t="s">
        <v>18</v>
      </c>
      <c r="J5" s="12" t="s">
        <v>19</v>
      </c>
      <c r="K5" s="12" t="s">
        <v>20</v>
      </c>
      <c r="L5" s="13" t="s">
        <v>21</v>
      </c>
      <c r="M5" s="14" t="s">
        <v>22</v>
      </c>
      <c r="N5" s="3"/>
    </row>
    <row r="6" spans="1:14" x14ac:dyDescent="0.2">
      <c r="A6" s="7"/>
      <c r="B6" s="7"/>
      <c r="C6" s="7"/>
      <c r="D6" s="7"/>
      <c r="E6" s="7"/>
      <c r="F6" s="15" t="s">
        <v>24</v>
      </c>
      <c r="G6" s="16" t="s">
        <v>12</v>
      </c>
      <c r="H6" s="15" t="s">
        <v>24</v>
      </c>
      <c r="I6" s="17"/>
      <c r="J6" s="7"/>
      <c r="K6" s="7"/>
      <c r="L6" s="7"/>
      <c r="M6" s="7"/>
    </row>
    <row r="7" spans="1:14" x14ac:dyDescent="0.2">
      <c r="F7" s="11"/>
      <c r="G7" s="18"/>
      <c r="H7" s="11"/>
      <c r="I7" s="12"/>
    </row>
    <row r="8" spans="1:14" x14ac:dyDescent="0.2">
      <c r="A8" s="72" t="s">
        <v>25</v>
      </c>
      <c r="B8" s="72"/>
      <c r="C8" s="4">
        <v>1650274</v>
      </c>
      <c r="D8" s="19">
        <v>0.28999999999999998</v>
      </c>
      <c r="E8" s="19">
        <v>0.21</v>
      </c>
      <c r="F8" s="4">
        <v>1827445</v>
      </c>
      <c r="G8" s="4">
        <f t="shared" ref="G8:G33" si="0">+J8+K8+L8+M8</f>
        <v>2103750</v>
      </c>
      <c r="H8" s="20">
        <f t="shared" ref="H8:H34" si="1">G8-F8</f>
        <v>276305</v>
      </c>
      <c r="I8" s="4">
        <v>5415</v>
      </c>
      <c r="J8" s="4">
        <v>0</v>
      </c>
      <c r="K8" s="4">
        <v>177171</v>
      </c>
      <c r="L8" s="4">
        <v>0</v>
      </c>
      <c r="M8" s="4">
        <v>1926579</v>
      </c>
    </row>
    <row r="9" spans="1:14" x14ac:dyDescent="0.2">
      <c r="A9" s="72" t="s">
        <v>26</v>
      </c>
      <c r="B9" s="72"/>
      <c r="C9" s="4">
        <v>1650274</v>
      </c>
      <c r="D9" s="19">
        <v>0.4</v>
      </c>
      <c r="E9" s="19">
        <v>0.4</v>
      </c>
      <c r="F9" s="4">
        <v>1652606</v>
      </c>
      <c r="G9" s="4">
        <f t="shared" si="0"/>
        <v>2399019</v>
      </c>
      <c r="H9" s="20">
        <f>G9-F9</f>
        <v>746413</v>
      </c>
      <c r="I9" s="4">
        <v>37649</v>
      </c>
      <c r="J9" s="4">
        <v>0</v>
      </c>
      <c r="K9" s="4">
        <v>2332</v>
      </c>
      <c r="L9" s="4">
        <v>0</v>
      </c>
      <c r="M9" s="4">
        <v>2396687</v>
      </c>
    </row>
    <row r="10" spans="1:14" s="20" customFormat="1" x14ac:dyDescent="0.2">
      <c r="A10" s="21" t="s">
        <v>28</v>
      </c>
      <c r="B10" s="21"/>
      <c r="C10" s="4">
        <v>5110877</v>
      </c>
      <c r="D10" s="19">
        <v>2.27</v>
      </c>
      <c r="E10" s="19">
        <v>0.57999999999999996</v>
      </c>
      <c r="F10" s="4">
        <v>20281591</v>
      </c>
      <c r="G10" s="20">
        <f t="shared" si="0"/>
        <v>24939743</v>
      </c>
      <c r="H10" s="20">
        <f t="shared" si="1"/>
        <v>4658152</v>
      </c>
      <c r="I10" s="4">
        <v>922234</v>
      </c>
      <c r="J10" s="4">
        <v>0</v>
      </c>
      <c r="K10" s="4">
        <f>2079676+12669081+10731+453663</f>
        <v>15213151</v>
      </c>
      <c r="L10" s="4">
        <v>0</v>
      </c>
      <c r="M10" s="4">
        <v>9726592</v>
      </c>
      <c r="N10" s="4"/>
    </row>
    <row r="11" spans="1:14" x14ac:dyDescent="0.2">
      <c r="A11" s="21" t="s">
        <v>29</v>
      </c>
      <c r="B11" s="21"/>
      <c r="C11" s="4">
        <v>7589550</v>
      </c>
      <c r="D11" s="19">
        <v>6.72</v>
      </c>
      <c r="E11" s="19">
        <v>0.18</v>
      </c>
      <c r="F11" s="4">
        <v>121895706</v>
      </c>
      <c r="G11" s="20">
        <f t="shared" si="0"/>
        <v>131826532</v>
      </c>
      <c r="H11" s="20">
        <f>G11-F11</f>
        <v>9930826</v>
      </c>
      <c r="I11" s="4">
        <v>2010688</v>
      </c>
      <c r="J11" s="4">
        <v>109196773</v>
      </c>
      <c r="K11" s="4">
        <f>582268+4527115</f>
        <v>5109383</v>
      </c>
      <c r="L11" s="4">
        <v>0</v>
      </c>
      <c r="M11" s="4">
        <v>17520376</v>
      </c>
    </row>
    <row r="12" spans="1:14" x14ac:dyDescent="0.2">
      <c r="A12" s="21" t="s">
        <v>31</v>
      </c>
      <c r="B12" s="21"/>
      <c r="C12" s="4">
        <v>84646611</v>
      </c>
      <c r="D12" s="19">
        <v>8.4700000000000006</v>
      </c>
      <c r="E12" s="19">
        <v>0.54</v>
      </c>
      <c r="F12" s="4">
        <v>1330523226</v>
      </c>
      <c r="G12" s="20">
        <f t="shared" si="0"/>
        <v>1395355603</v>
      </c>
      <c r="H12" s="20">
        <f>G12-F12</f>
        <v>64832377</v>
      </c>
      <c r="I12" s="4">
        <v>42764845</v>
      </c>
      <c r="J12" s="4">
        <v>1201354936</v>
      </c>
      <c r="K12" s="4">
        <f>3318243+30767375+6001+11113221</f>
        <v>45204840</v>
      </c>
      <c r="L12" s="4">
        <v>0</v>
      </c>
      <c r="M12" s="4">
        <v>148795827</v>
      </c>
    </row>
    <row r="13" spans="1:14" x14ac:dyDescent="0.2">
      <c r="A13" s="73" t="s">
        <v>30</v>
      </c>
      <c r="B13" s="74"/>
      <c r="C13" s="4">
        <v>6577267</v>
      </c>
      <c r="D13" s="19">
        <v>4.33</v>
      </c>
      <c r="E13" s="19">
        <v>0.52</v>
      </c>
      <c r="F13" s="4">
        <v>55067452</v>
      </c>
      <c r="G13" s="4">
        <f t="shared" si="0"/>
        <v>62967429</v>
      </c>
      <c r="H13" s="20">
        <f t="shared" si="1"/>
        <v>7899977</v>
      </c>
      <c r="I13" s="4">
        <v>229651</v>
      </c>
      <c r="J13" s="4">
        <v>26490916</v>
      </c>
      <c r="K13" s="4">
        <f>2595849+9410639+600162+9751120</f>
        <v>22357770</v>
      </c>
      <c r="L13" s="4">
        <v>0</v>
      </c>
      <c r="M13" s="4">
        <v>14118743</v>
      </c>
    </row>
    <row r="14" spans="1:14" s="20" customFormat="1" x14ac:dyDescent="0.2">
      <c r="A14" s="21" t="s">
        <v>32</v>
      </c>
      <c r="B14" s="6"/>
      <c r="C14" s="4">
        <v>11555791</v>
      </c>
      <c r="D14" s="19">
        <v>2.4300000000000002</v>
      </c>
      <c r="E14" s="19">
        <v>0.82</v>
      </c>
      <c r="F14" s="4">
        <v>34420261</v>
      </c>
      <c r="G14" s="20">
        <f t="shared" si="0"/>
        <v>38728509</v>
      </c>
      <c r="H14" s="20">
        <f t="shared" si="1"/>
        <v>4308248</v>
      </c>
      <c r="I14" s="4">
        <v>431611</v>
      </c>
      <c r="J14" s="4">
        <v>0</v>
      </c>
      <c r="K14" s="4">
        <f>2411732+20452738</f>
        <v>22864470</v>
      </c>
      <c r="L14" s="4">
        <v>0</v>
      </c>
      <c r="M14" s="4">
        <v>15864039</v>
      </c>
    </row>
    <row r="15" spans="1:14" x14ac:dyDescent="0.2">
      <c r="A15" s="21" t="s">
        <v>33</v>
      </c>
      <c r="B15" s="6"/>
      <c r="C15" s="4">
        <v>63615722</v>
      </c>
      <c r="D15" s="19">
        <v>10.11</v>
      </c>
      <c r="E15" s="19">
        <v>0.97</v>
      </c>
      <c r="F15" s="4">
        <v>702541918</v>
      </c>
      <c r="G15" s="4">
        <f t="shared" si="0"/>
        <v>724290656</v>
      </c>
      <c r="H15" s="20">
        <f t="shared" si="1"/>
        <v>21748738</v>
      </c>
      <c r="I15" s="4">
        <v>4259819</v>
      </c>
      <c r="J15" s="4">
        <v>553244267</v>
      </c>
      <c r="K15" s="4">
        <f>9713245+29409119+7128810+33553747</f>
        <v>79804921</v>
      </c>
      <c r="L15" s="4">
        <v>3125951</v>
      </c>
      <c r="M15" s="4">
        <v>88115517</v>
      </c>
    </row>
    <row r="16" spans="1:14" s="23" customFormat="1" x14ac:dyDescent="0.2">
      <c r="A16" s="21" t="s">
        <v>34</v>
      </c>
      <c r="B16" s="21"/>
      <c r="C16" s="20">
        <v>6351882</v>
      </c>
      <c r="D16" s="22">
        <v>4.71</v>
      </c>
      <c r="E16" s="22">
        <v>0.09</v>
      </c>
      <c r="F16" s="20">
        <v>93625984</v>
      </c>
      <c r="G16" s="20">
        <f t="shared" si="0"/>
        <v>106084100</v>
      </c>
      <c r="H16" s="20">
        <f t="shared" si="1"/>
        <v>12458116</v>
      </c>
      <c r="I16" s="20">
        <v>149295</v>
      </c>
      <c r="J16" s="20">
        <v>84277981</v>
      </c>
      <c r="K16" s="20">
        <f>1353226+747774+1005932</f>
        <v>3106932</v>
      </c>
      <c r="L16" s="20">
        <v>0</v>
      </c>
      <c r="M16" s="20">
        <v>18699187</v>
      </c>
      <c r="N16" s="20"/>
    </row>
    <row r="17" spans="1:14" s="23" customFormat="1" x14ac:dyDescent="0.2">
      <c r="A17" s="21" t="s">
        <v>87</v>
      </c>
      <c r="B17" s="21"/>
      <c r="C17" s="20">
        <v>1650274</v>
      </c>
      <c r="D17" s="22">
        <v>0.62</v>
      </c>
      <c r="E17" s="22">
        <v>0.48</v>
      </c>
      <c r="F17" s="20">
        <v>1913323</v>
      </c>
      <c r="G17" s="4">
        <f t="shared" si="0"/>
        <v>231456</v>
      </c>
      <c r="H17" s="20">
        <f>G17-F17</f>
        <v>-1681867</v>
      </c>
      <c r="I17" s="20">
        <v>1498807</v>
      </c>
      <c r="J17" s="20">
        <v>0</v>
      </c>
      <c r="K17" s="20">
        <f>110333+121123</f>
        <v>231456</v>
      </c>
      <c r="L17" s="20">
        <v>0</v>
      </c>
      <c r="M17" s="20">
        <v>0</v>
      </c>
      <c r="N17" s="4"/>
    </row>
    <row r="18" spans="1:14" x14ac:dyDescent="0.2">
      <c r="A18" s="21" t="s">
        <v>35</v>
      </c>
      <c r="B18" s="6"/>
      <c r="C18" s="4">
        <v>16720341</v>
      </c>
      <c r="D18" s="19">
        <v>5.41</v>
      </c>
      <c r="E18" s="19">
        <v>0.16</v>
      </c>
      <c r="F18" s="4">
        <v>292799838</v>
      </c>
      <c r="G18" s="4">
        <f t="shared" si="0"/>
        <v>327592520</v>
      </c>
      <c r="H18" s="20">
        <f t="shared" si="1"/>
        <v>34792682</v>
      </c>
      <c r="I18" s="4">
        <v>1475526</v>
      </c>
      <c r="J18" s="4">
        <v>273832782</v>
      </c>
      <c r="K18" s="4">
        <f>79559+2167156</f>
        <v>2246715</v>
      </c>
      <c r="L18" s="4">
        <v>0</v>
      </c>
      <c r="M18" s="4">
        <v>51513023</v>
      </c>
    </row>
    <row r="19" spans="1:14" x14ac:dyDescent="0.2">
      <c r="A19" s="21" t="s">
        <v>36</v>
      </c>
      <c r="B19" s="21"/>
      <c r="C19" s="4">
        <v>141615482</v>
      </c>
      <c r="D19" s="19">
        <v>6.87</v>
      </c>
      <c r="E19" s="19">
        <v>0.56000000000000005</v>
      </c>
      <c r="F19" s="4">
        <v>1826074460</v>
      </c>
      <c r="G19" s="4">
        <f t="shared" si="0"/>
        <v>1921676800</v>
      </c>
      <c r="H19" s="20">
        <f t="shared" si="1"/>
        <v>95602340</v>
      </c>
      <c r="I19" s="4">
        <v>48762099</v>
      </c>
      <c r="J19" s="4">
        <v>1545912625</v>
      </c>
      <c r="K19" s="4">
        <f>2073335+44119033+21968038+55446196</f>
        <v>123606602</v>
      </c>
      <c r="L19" s="4">
        <v>441803</v>
      </c>
      <c r="M19" s="4">
        <v>251715770</v>
      </c>
    </row>
    <row r="20" spans="1:14" x14ac:dyDescent="0.2">
      <c r="A20" s="21" t="s">
        <v>37</v>
      </c>
      <c r="B20" s="21"/>
      <c r="C20" s="4">
        <v>21503253</v>
      </c>
      <c r="D20" s="19">
        <v>6.02</v>
      </c>
      <c r="E20" s="19">
        <v>0.16</v>
      </c>
      <c r="F20" s="4">
        <v>318089577</v>
      </c>
      <c r="G20" s="4">
        <f t="shared" si="0"/>
        <v>342677950</v>
      </c>
      <c r="H20" s="20">
        <f t="shared" si="1"/>
        <v>24588373</v>
      </c>
      <c r="I20" s="4">
        <v>6130032</v>
      </c>
      <c r="J20" s="4">
        <v>261878291</v>
      </c>
      <c r="K20" s="4">
        <f>2696294+12023246+1529189+20704776</f>
        <v>36953505</v>
      </c>
      <c r="L20" s="4">
        <v>360177</v>
      </c>
      <c r="M20" s="4">
        <v>43485977</v>
      </c>
    </row>
    <row r="21" spans="1:14" x14ac:dyDescent="0.2">
      <c r="A21" s="21" t="s">
        <v>38</v>
      </c>
      <c r="B21" s="21"/>
      <c r="C21" s="4">
        <v>23898684</v>
      </c>
      <c r="D21" s="19">
        <v>10.98</v>
      </c>
      <c r="E21" s="19">
        <v>0.4</v>
      </c>
      <c r="F21" s="4">
        <v>419982357</v>
      </c>
      <c r="G21" s="4">
        <f t="shared" si="0"/>
        <v>425919080</v>
      </c>
      <c r="H21" s="20">
        <f t="shared" si="1"/>
        <v>5936723</v>
      </c>
      <c r="I21" s="4">
        <v>5651178</v>
      </c>
      <c r="J21" s="4">
        <v>320383399</v>
      </c>
      <c r="K21" s="4">
        <f>2635071+15020245+28020401+29992520</f>
        <v>75668237</v>
      </c>
      <c r="L21" s="4">
        <v>330613</v>
      </c>
      <c r="M21" s="4">
        <v>29536831</v>
      </c>
    </row>
    <row r="22" spans="1:14" x14ac:dyDescent="0.2">
      <c r="A22" s="21" t="s">
        <v>39</v>
      </c>
      <c r="B22" s="21"/>
      <c r="C22" s="4">
        <v>1650274</v>
      </c>
      <c r="D22" s="19">
        <v>0.73</v>
      </c>
      <c r="E22" s="19">
        <v>0.06</v>
      </c>
      <c r="F22" s="4">
        <v>3540984</v>
      </c>
      <c r="G22" s="4">
        <f t="shared" si="0"/>
        <v>4337187</v>
      </c>
      <c r="H22" s="20">
        <f t="shared" si="1"/>
        <v>796203</v>
      </c>
      <c r="I22" s="4">
        <v>418749</v>
      </c>
      <c r="J22" s="4">
        <v>0</v>
      </c>
      <c r="K22" s="4">
        <f>368619+1522091</f>
        <v>1890710</v>
      </c>
      <c r="L22" s="4">
        <v>0</v>
      </c>
      <c r="M22" s="4">
        <v>2446477</v>
      </c>
    </row>
    <row r="23" spans="1:14" s="2" customFormat="1" x14ac:dyDescent="0.2">
      <c r="A23" s="21" t="s">
        <v>40</v>
      </c>
      <c r="B23" s="21"/>
      <c r="C23" s="4">
        <v>94438623</v>
      </c>
      <c r="D23" s="19">
        <v>8.35</v>
      </c>
      <c r="E23" s="19">
        <v>0.12</v>
      </c>
      <c r="F23" s="4">
        <v>1593304037</v>
      </c>
      <c r="G23" s="20">
        <f t="shared" si="0"/>
        <v>1639124515</v>
      </c>
      <c r="H23" s="20">
        <f t="shared" si="1"/>
        <v>45820478</v>
      </c>
      <c r="I23" s="4">
        <v>28687455</v>
      </c>
      <c r="J23" s="4">
        <v>1365392690</v>
      </c>
      <c r="K23" s="4">
        <f>4832199+56839968+17396031+37888110</f>
        <v>116956308</v>
      </c>
      <c r="L23" s="4">
        <v>372273</v>
      </c>
      <c r="M23" s="4">
        <v>156403244</v>
      </c>
      <c r="N23" s="4"/>
    </row>
    <row r="24" spans="1:14" s="2" customFormat="1" x14ac:dyDescent="0.2">
      <c r="A24" s="21" t="s">
        <v>41</v>
      </c>
      <c r="B24" s="21"/>
      <c r="C24" s="4">
        <v>14456057</v>
      </c>
      <c r="D24" s="19">
        <v>3.04</v>
      </c>
      <c r="E24" s="19">
        <v>0.4</v>
      </c>
      <c r="F24" s="4">
        <v>150106078</v>
      </c>
      <c r="G24" s="20">
        <f t="shared" si="0"/>
        <v>166618678</v>
      </c>
      <c r="H24" s="20">
        <f>G24-F24</f>
        <v>16512600</v>
      </c>
      <c r="I24" s="4">
        <v>8248937</v>
      </c>
      <c r="J24" s="4">
        <v>31335868</v>
      </c>
      <c r="K24" s="4">
        <f>5806450+50476726+1671079+46563361</f>
        <v>104517616</v>
      </c>
      <c r="L24" s="4">
        <v>0</v>
      </c>
      <c r="M24" s="4">
        <v>30765194</v>
      </c>
      <c r="N24" s="4"/>
    </row>
    <row r="25" spans="1:14" s="20" customFormat="1" x14ac:dyDescent="0.2">
      <c r="A25" s="21" t="s">
        <v>42</v>
      </c>
      <c r="B25" s="21"/>
      <c r="C25" s="4">
        <v>1980746</v>
      </c>
      <c r="D25" s="19">
        <v>9.17</v>
      </c>
      <c r="E25" s="19">
        <v>0.4</v>
      </c>
      <c r="F25" s="4">
        <v>27611940</v>
      </c>
      <c r="G25" s="20">
        <f t="shared" si="0"/>
        <v>28862686</v>
      </c>
      <c r="H25" s="20">
        <f t="shared" ref="H25:H32" si="2">G25-F25</f>
        <v>1250746</v>
      </c>
      <c r="I25" s="4">
        <v>74864</v>
      </c>
      <c r="J25" s="4">
        <v>24443665</v>
      </c>
      <c r="K25" s="4">
        <f>142287+726724+355910</f>
        <v>1224921</v>
      </c>
      <c r="L25" s="4">
        <v>3030</v>
      </c>
      <c r="M25" s="4">
        <v>3191070</v>
      </c>
    </row>
    <row r="26" spans="1:14" s="20" customFormat="1" x14ac:dyDescent="0.2">
      <c r="A26" s="21" t="s">
        <v>43</v>
      </c>
      <c r="B26" s="21"/>
      <c r="C26" s="4">
        <v>76844082</v>
      </c>
      <c r="D26" s="19">
        <v>10.38</v>
      </c>
      <c r="E26" s="19">
        <v>0.26</v>
      </c>
      <c r="F26" s="4">
        <v>1237696440</v>
      </c>
      <c r="G26" s="20">
        <f t="shared" si="0"/>
        <v>1241334848</v>
      </c>
      <c r="H26" s="20">
        <f t="shared" si="2"/>
        <v>3638408</v>
      </c>
      <c r="I26" s="4">
        <v>5867635</v>
      </c>
      <c r="J26" s="4">
        <v>1093810012</v>
      </c>
      <c r="K26" s="4">
        <f>10905534+27114959+2465724+26115201</f>
        <v>66601418</v>
      </c>
      <c r="L26" s="4">
        <v>0</v>
      </c>
      <c r="M26" s="4">
        <v>80923418</v>
      </c>
    </row>
    <row r="27" spans="1:14" x14ac:dyDescent="0.2">
      <c r="A27" s="21" t="s">
        <v>44</v>
      </c>
      <c r="B27" s="21"/>
      <c r="C27" s="4">
        <v>19538845</v>
      </c>
      <c r="D27" s="19">
        <v>12.68</v>
      </c>
      <c r="E27" s="19">
        <v>0.11</v>
      </c>
      <c r="F27" s="4">
        <v>343326804</v>
      </c>
      <c r="G27" s="4">
        <f t="shared" si="0"/>
        <v>345641204</v>
      </c>
      <c r="H27" s="20">
        <f t="shared" si="2"/>
        <v>2314400</v>
      </c>
      <c r="I27" s="4">
        <v>441276</v>
      </c>
      <c r="J27" s="4">
        <v>319054981</v>
      </c>
      <c r="K27" s="4">
        <f>923484+3758419+51076</f>
        <v>4732979</v>
      </c>
      <c r="L27" s="4">
        <v>0</v>
      </c>
      <c r="M27" s="4">
        <v>21853244</v>
      </c>
    </row>
    <row r="28" spans="1:14" s="20" customFormat="1" x14ac:dyDescent="0.2">
      <c r="A28" s="21" t="s">
        <v>45</v>
      </c>
      <c r="B28" s="6"/>
      <c r="C28" s="4">
        <v>36496299</v>
      </c>
      <c r="D28" s="19">
        <v>8.76</v>
      </c>
      <c r="E28" s="19">
        <v>0.3</v>
      </c>
      <c r="F28" s="4">
        <v>633766443</v>
      </c>
      <c r="G28" s="20">
        <f>+J28+K28+L28+M28</f>
        <v>656629886</v>
      </c>
      <c r="H28" s="20">
        <f>G28-F28</f>
        <v>22863443</v>
      </c>
      <c r="I28" s="4">
        <v>11056512</v>
      </c>
      <c r="J28" s="4">
        <v>577977909</v>
      </c>
      <c r="K28" s="4">
        <f>270025+3340923+19282444</f>
        <v>22893392</v>
      </c>
      <c r="L28" s="4">
        <v>338121</v>
      </c>
      <c r="M28" s="4">
        <v>55420464</v>
      </c>
    </row>
    <row r="29" spans="1:14" s="20" customFormat="1" x14ac:dyDescent="0.2">
      <c r="A29" s="21" t="s">
        <v>46</v>
      </c>
      <c r="B29" s="6"/>
      <c r="C29" s="4">
        <v>66758232</v>
      </c>
      <c r="D29" s="19">
        <v>14.85</v>
      </c>
      <c r="E29" s="19">
        <v>0.25</v>
      </c>
      <c r="F29" s="4">
        <v>1183926597</v>
      </c>
      <c r="G29" s="20">
        <f t="shared" si="0"/>
        <v>1190563663</v>
      </c>
      <c r="H29" s="20">
        <f t="shared" si="2"/>
        <v>6637066</v>
      </c>
      <c r="I29" s="4">
        <v>5324462</v>
      </c>
      <c r="J29" s="4">
        <v>1098964139</v>
      </c>
      <c r="K29" s="4">
        <f>1004582+11608948+2487673+3299856</f>
        <v>18401059</v>
      </c>
      <c r="L29" s="4">
        <v>0</v>
      </c>
      <c r="M29" s="4">
        <v>73198465</v>
      </c>
    </row>
    <row r="30" spans="1:14" x14ac:dyDescent="0.2">
      <c r="A30" s="21" t="s">
        <v>47</v>
      </c>
      <c r="B30" s="21"/>
      <c r="C30" s="4">
        <v>15347383</v>
      </c>
      <c r="D30" s="19">
        <v>7.24</v>
      </c>
      <c r="E30" s="19">
        <v>0.22</v>
      </c>
      <c r="F30" s="4">
        <v>268432968</v>
      </c>
      <c r="G30" s="4">
        <f>+J30+K30+L30+M30</f>
        <v>272182769</v>
      </c>
      <c r="H30" s="20">
        <f>G30-F30</f>
        <v>3749801</v>
      </c>
      <c r="I30" s="4">
        <v>17753998</v>
      </c>
      <c r="J30" s="4">
        <v>251077636</v>
      </c>
      <c r="K30" s="4">
        <f>1590086+186072+272978</f>
        <v>2049136</v>
      </c>
      <c r="L30" s="4">
        <v>1559</v>
      </c>
      <c r="M30" s="4">
        <v>19054438</v>
      </c>
    </row>
    <row r="31" spans="1:14" s="20" customFormat="1" x14ac:dyDescent="0.2">
      <c r="A31" s="21" t="s">
        <v>89</v>
      </c>
      <c r="B31" s="21"/>
      <c r="C31" s="4">
        <v>13628864</v>
      </c>
      <c r="D31" s="19">
        <v>0.82</v>
      </c>
      <c r="E31" s="19">
        <v>0.24</v>
      </c>
      <c r="F31" s="4">
        <v>48391292</v>
      </c>
      <c r="G31" s="20">
        <f>+J31+K31+L31+M31</f>
        <v>58984285</v>
      </c>
      <c r="H31" s="20">
        <f>G31-F31</f>
        <v>10592993</v>
      </c>
      <c r="I31" s="4">
        <v>27380720</v>
      </c>
      <c r="J31" s="4">
        <v>0</v>
      </c>
      <c r="K31" s="4">
        <f>6742139+26680767+2219579</f>
        <v>35642485</v>
      </c>
      <c r="L31" s="4">
        <v>49570</v>
      </c>
      <c r="M31" s="4">
        <v>23292230</v>
      </c>
      <c r="N31" s="4"/>
    </row>
    <row r="32" spans="1:14" s="20" customFormat="1" x14ac:dyDescent="0.2">
      <c r="A32" s="21" t="s">
        <v>48</v>
      </c>
      <c r="B32" s="21"/>
      <c r="C32" s="4">
        <v>6932153</v>
      </c>
      <c r="D32" s="19">
        <v>5.5</v>
      </c>
      <c r="E32" s="19">
        <v>0.42</v>
      </c>
      <c r="F32" s="4">
        <v>71847421</v>
      </c>
      <c r="G32" s="4">
        <f t="shared" si="0"/>
        <v>71882637</v>
      </c>
      <c r="H32" s="20">
        <f t="shared" si="2"/>
        <v>35216</v>
      </c>
      <c r="I32" s="4">
        <v>838158</v>
      </c>
      <c r="J32" s="4">
        <v>36380462</v>
      </c>
      <c r="K32" s="4">
        <f>2223409+5079904+13964956+7191064</f>
        <v>28459333</v>
      </c>
      <c r="L32" s="4">
        <v>216668</v>
      </c>
      <c r="M32" s="4">
        <v>6826174</v>
      </c>
      <c r="N32" s="4"/>
    </row>
    <row r="33" spans="1:14" x14ac:dyDescent="0.2">
      <c r="A33" s="21" t="s">
        <v>88</v>
      </c>
      <c r="B33" s="6"/>
      <c r="C33" s="4">
        <v>28695029</v>
      </c>
      <c r="D33" s="19">
        <v>8.32</v>
      </c>
      <c r="E33" s="19">
        <v>0.05</v>
      </c>
      <c r="F33" s="4">
        <v>513772272</v>
      </c>
      <c r="G33" s="4">
        <f t="shared" si="0"/>
        <v>543295514</v>
      </c>
      <c r="H33" s="20">
        <f>G33-F33</f>
        <v>29523242</v>
      </c>
      <c r="I33" s="4">
        <v>209841</v>
      </c>
      <c r="J33" s="4">
        <v>448947016</v>
      </c>
      <c r="K33" s="4">
        <v>36130227</v>
      </c>
      <c r="L33" s="4">
        <v>0</v>
      </c>
      <c r="M33" s="4">
        <v>58218271</v>
      </c>
    </row>
    <row r="34" spans="1:14" x14ac:dyDescent="0.2">
      <c r="A34" s="21" t="s">
        <v>50</v>
      </c>
      <c r="B34" s="21"/>
      <c r="C34" s="4">
        <v>51694765</v>
      </c>
      <c r="D34" s="19">
        <v>8.57</v>
      </c>
      <c r="E34" s="19">
        <v>0.26</v>
      </c>
      <c r="F34" s="4">
        <v>896237187</v>
      </c>
      <c r="G34" s="20">
        <f>+J34+K34+L34+M34</f>
        <v>919259732</v>
      </c>
      <c r="H34" s="20">
        <f t="shared" si="1"/>
        <v>23022545</v>
      </c>
      <c r="I34" s="4">
        <v>16998392</v>
      </c>
      <c r="J34" s="4">
        <v>816869077</v>
      </c>
      <c r="K34" s="4">
        <f>775119+10196407+8546913+8711801</f>
        <v>28230240</v>
      </c>
      <c r="L34" s="4">
        <v>0</v>
      </c>
      <c r="M34" s="4">
        <v>74160415</v>
      </c>
    </row>
    <row r="35" spans="1:14" x14ac:dyDescent="0.2">
      <c r="A35" s="24" t="s">
        <v>51</v>
      </c>
      <c r="B35" s="24"/>
      <c r="C35" s="25">
        <f>SUM(C8:C34)</f>
        <v>822597634</v>
      </c>
      <c r="D35" s="26"/>
      <c r="E35" s="26"/>
      <c r="F35" s="25">
        <f t="shared" ref="F35:M35" si="3">SUM(F8:F34)</f>
        <v>12192656207</v>
      </c>
      <c r="G35" s="25">
        <f t="shared" si="3"/>
        <v>12645510751</v>
      </c>
      <c r="H35" s="25">
        <f t="shared" si="3"/>
        <v>452854544</v>
      </c>
      <c r="I35" s="25">
        <f t="shared" si="3"/>
        <v>237629848</v>
      </c>
      <c r="J35" s="25">
        <f t="shared" si="3"/>
        <v>10440825425</v>
      </c>
      <c r="K35" s="25">
        <f t="shared" si="3"/>
        <v>900277309</v>
      </c>
      <c r="L35" s="25">
        <f t="shared" si="3"/>
        <v>5239765</v>
      </c>
      <c r="M35" s="25">
        <f t="shared" si="3"/>
        <v>1299168252</v>
      </c>
    </row>
    <row r="36" spans="1:14" x14ac:dyDescent="0.2">
      <c r="A36" s="27"/>
      <c r="B36" s="27"/>
      <c r="D36" s="19"/>
      <c r="E36" s="19"/>
      <c r="M36" s="28"/>
    </row>
    <row r="37" spans="1:14" s="20" customFormat="1" x14ac:dyDescent="0.2">
      <c r="A37" s="21" t="s">
        <v>52</v>
      </c>
      <c r="B37" s="21"/>
      <c r="C37" s="4">
        <v>2540182</v>
      </c>
      <c r="D37" s="19">
        <v>2.25</v>
      </c>
      <c r="E37" s="19">
        <v>0.04</v>
      </c>
      <c r="F37" s="4">
        <v>45038514</v>
      </c>
      <c r="G37" s="4">
        <f>+J37+K37+L37+M37</f>
        <v>53784985</v>
      </c>
      <c r="H37" s="20">
        <f>G37-F37</f>
        <v>8746471</v>
      </c>
      <c r="I37" s="4">
        <v>7857032</v>
      </c>
      <c r="J37" s="4">
        <v>42429296</v>
      </c>
      <c r="K37" s="4">
        <f>55489+13547</f>
        <v>69036</v>
      </c>
      <c r="L37" s="4">
        <v>0</v>
      </c>
      <c r="M37" s="4">
        <v>11286653</v>
      </c>
      <c r="N37" s="4"/>
    </row>
    <row r="38" spans="1:14" x14ac:dyDescent="0.2">
      <c r="A38" s="29" t="s">
        <v>53</v>
      </c>
      <c r="B38" s="29"/>
      <c r="C38" s="25">
        <f>SUM(C37)</f>
        <v>2540182</v>
      </c>
      <c r="D38" s="26"/>
      <c r="E38" s="26"/>
      <c r="F38" s="25">
        <f t="shared" ref="F38:M38" si="4">SUM(F37)</f>
        <v>45038514</v>
      </c>
      <c r="G38" s="25">
        <f t="shared" si="4"/>
        <v>53784985</v>
      </c>
      <c r="H38" s="25">
        <f t="shared" si="4"/>
        <v>8746471</v>
      </c>
      <c r="I38" s="25">
        <f t="shared" si="4"/>
        <v>7857032</v>
      </c>
      <c r="J38" s="25">
        <f t="shared" si="4"/>
        <v>42429296</v>
      </c>
      <c r="K38" s="25">
        <f t="shared" si="4"/>
        <v>69036</v>
      </c>
      <c r="L38" s="25">
        <f t="shared" si="4"/>
        <v>0</v>
      </c>
      <c r="M38" s="25">
        <f t="shared" si="4"/>
        <v>11286653</v>
      </c>
    </row>
    <row r="39" spans="1:14" x14ac:dyDescent="0.2">
      <c r="D39" s="19"/>
      <c r="E39" s="19"/>
      <c r="I39" s="20"/>
      <c r="J39" s="20"/>
      <c r="K39" s="20"/>
      <c r="M39" s="28"/>
    </row>
    <row r="40" spans="1:14" x14ac:dyDescent="0.2">
      <c r="A40" s="30" t="s">
        <v>13</v>
      </c>
      <c r="B40" s="30"/>
      <c r="C40" s="7">
        <f>C35+C38</f>
        <v>825137816</v>
      </c>
      <c r="D40" s="31"/>
      <c r="E40" s="31"/>
      <c r="F40" s="7">
        <f t="shared" ref="F40:M40" si="5">F35+F38</f>
        <v>12237694721</v>
      </c>
      <c r="G40" s="7">
        <f t="shared" si="5"/>
        <v>12699295736</v>
      </c>
      <c r="H40" s="7">
        <f t="shared" si="5"/>
        <v>461601015</v>
      </c>
      <c r="I40" s="7">
        <f t="shared" si="5"/>
        <v>245486880</v>
      </c>
      <c r="J40" s="32">
        <f t="shared" si="5"/>
        <v>10483254721</v>
      </c>
      <c r="K40" s="32">
        <f t="shared" si="5"/>
        <v>900346345</v>
      </c>
      <c r="L40" s="7">
        <f t="shared" si="5"/>
        <v>5239765</v>
      </c>
      <c r="M40" s="7">
        <f t="shared" si="5"/>
        <v>1310454905</v>
      </c>
    </row>
    <row r="41" spans="1:14" ht="9.75" customHeight="1" x14ac:dyDescent="0.2">
      <c r="A41" s="33"/>
    </row>
    <row r="42" spans="1:14" ht="34.5" customHeight="1" x14ac:dyDescent="0.2">
      <c r="A42" s="33" t="s">
        <v>54</v>
      </c>
      <c r="B42" s="75" t="s">
        <v>100</v>
      </c>
      <c r="C42" s="75"/>
      <c r="D42" s="75"/>
      <c r="E42" s="75"/>
      <c r="F42" s="75"/>
      <c r="G42" s="75"/>
      <c r="H42" s="75"/>
      <c r="I42" s="75"/>
      <c r="J42" s="75"/>
      <c r="K42" s="75"/>
      <c r="L42" s="75"/>
      <c r="M42" s="77"/>
    </row>
    <row r="43" spans="1:14" ht="15" customHeight="1" x14ac:dyDescent="0.2">
      <c r="A43" s="33" t="s">
        <v>91</v>
      </c>
      <c r="B43" s="75" t="s">
        <v>92</v>
      </c>
      <c r="C43" s="75"/>
      <c r="D43" s="75"/>
      <c r="E43" s="75"/>
      <c r="F43" s="75"/>
      <c r="G43" s="75"/>
      <c r="H43" s="75"/>
      <c r="I43" s="75"/>
      <c r="J43" s="75"/>
      <c r="K43" s="75"/>
      <c r="L43" s="75"/>
      <c r="M43" s="68"/>
    </row>
    <row r="44" spans="1:14" x14ac:dyDescent="0.2">
      <c r="A44" s="35"/>
    </row>
    <row r="45" spans="1:14" x14ac:dyDescent="0.2">
      <c r="A45" s="35"/>
    </row>
    <row r="46" spans="1:14" x14ac:dyDescent="0.2">
      <c r="A46" s="1" t="s">
        <v>57</v>
      </c>
      <c r="B46" s="65"/>
      <c r="C46" s="36"/>
      <c r="D46" s="36"/>
      <c r="E46" s="36"/>
      <c r="F46" s="36"/>
      <c r="G46" s="36"/>
      <c r="H46" s="36"/>
      <c r="I46" s="36"/>
      <c r="J46" s="36"/>
      <c r="K46" s="36"/>
    </row>
    <row r="47" spans="1:14" x14ac:dyDescent="0.2">
      <c r="A47" s="6" t="s">
        <v>99</v>
      </c>
      <c r="B47" s="5"/>
      <c r="C47" s="2"/>
      <c r="D47" s="2"/>
      <c r="F47" s="36"/>
      <c r="G47" s="36"/>
      <c r="H47" s="36"/>
      <c r="I47" s="36"/>
      <c r="J47" s="36"/>
      <c r="K47" s="36"/>
    </row>
    <row r="48" spans="1:14" x14ac:dyDescent="0.2">
      <c r="A48" s="36"/>
      <c r="B48" s="36"/>
      <c r="C48" s="36"/>
      <c r="D48" s="36"/>
      <c r="E48" s="36"/>
      <c r="F48" s="36"/>
      <c r="G48" s="36"/>
      <c r="H48" s="36"/>
      <c r="I48" s="36"/>
      <c r="J48" s="36"/>
      <c r="K48" s="36"/>
    </row>
    <row r="49" spans="1:11" x14ac:dyDescent="0.2">
      <c r="A49" s="66" t="s">
        <v>58</v>
      </c>
      <c r="B49" s="43"/>
      <c r="C49" s="66"/>
      <c r="D49" s="43"/>
      <c r="E49" s="36"/>
      <c r="F49" s="36"/>
      <c r="G49" s="36"/>
      <c r="H49" s="36"/>
      <c r="I49" s="36"/>
      <c r="J49" s="36"/>
      <c r="K49" s="36"/>
    </row>
    <row r="50" spans="1:11" x14ac:dyDescent="0.2">
      <c r="A50" s="8" t="s">
        <v>3</v>
      </c>
      <c r="B50" s="39"/>
      <c r="C50" s="39"/>
      <c r="D50" s="24" t="s">
        <v>59</v>
      </c>
      <c r="E50" s="40"/>
      <c r="F50" s="41" t="s">
        <v>60</v>
      </c>
      <c r="G50" s="41" t="s">
        <v>10</v>
      </c>
      <c r="H50" s="42" t="s">
        <v>61</v>
      </c>
      <c r="I50" s="41" t="s">
        <v>60</v>
      </c>
      <c r="J50" s="41" t="s">
        <v>10</v>
      </c>
      <c r="K50" s="42" t="s">
        <v>61</v>
      </c>
    </row>
    <row r="51" spans="1:11" x14ac:dyDescent="0.2">
      <c r="A51" s="43"/>
      <c r="B51" s="43"/>
      <c r="C51" s="43"/>
      <c r="D51" s="12" t="s">
        <v>13</v>
      </c>
      <c r="E51" s="12" t="s">
        <v>14</v>
      </c>
      <c r="F51" s="44" t="s">
        <v>62</v>
      </c>
      <c r="G51" s="44" t="s">
        <v>63</v>
      </c>
      <c r="H51" s="44" t="s">
        <v>64</v>
      </c>
      <c r="I51" s="44" t="s">
        <v>65</v>
      </c>
      <c r="J51" s="44" t="s">
        <v>63</v>
      </c>
      <c r="K51" s="44" t="s">
        <v>64</v>
      </c>
    </row>
    <row r="52" spans="1:11" x14ac:dyDescent="0.2">
      <c r="A52" s="45"/>
      <c r="B52" s="45"/>
      <c r="C52" s="45"/>
      <c r="D52" s="45"/>
      <c r="E52" s="45"/>
      <c r="F52" s="46" t="s">
        <v>66</v>
      </c>
      <c r="G52" s="46" t="s">
        <v>67</v>
      </c>
      <c r="H52" s="46" t="s">
        <v>67</v>
      </c>
      <c r="I52" s="46" t="s">
        <v>4</v>
      </c>
      <c r="J52" s="47" t="s">
        <v>68</v>
      </c>
      <c r="K52" s="47" t="s">
        <v>68</v>
      </c>
    </row>
    <row r="53" spans="1:11" x14ac:dyDescent="0.2">
      <c r="A53" s="43"/>
      <c r="B53" s="43"/>
      <c r="C53" s="43"/>
      <c r="D53" s="48"/>
      <c r="E53" s="48"/>
      <c r="F53" s="49"/>
      <c r="G53" s="49"/>
      <c r="H53" s="49"/>
      <c r="I53" s="49"/>
      <c r="J53" s="18"/>
      <c r="K53" s="18"/>
    </row>
    <row r="54" spans="1:11" x14ac:dyDescent="0.2">
      <c r="A54" s="66" t="s">
        <v>96</v>
      </c>
      <c r="B54" s="43"/>
      <c r="C54" s="43"/>
      <c r="D54" s="51">
        <v>1.0900000000000001</v>
      </c>
      <c r="E54" s="52">
        <v>2E-3</v>
      </c>
      <c r="F54" s="53">
        <v>62806193</v>
      </c>
      <c r="G54" s="53">
        <f>421776+61045672+1338745</f>
        <v>62806193</v>
      </c>
      <c r="H54" s="53">
        <f>G54-F54</f>
        <v>0</v>
      </c>
      <c r="I54" s="53">
        <v>57525860</v>
      </c>
      <c r="J54" s="53">
        <v>57599892</v>
      </c>
      <c r="K54" s="53">
        <f>J54-I54</f>
        <v>74032</v>
      </c>
    </row>
    <row r="55" spans="1:11" x14ac:dyDescent="0.2">
      <c r="A55" s="66" t="s">
        <v>97</v>
      </c>
      <c r="B55" s="43"/>
      <c r="C55" s="43"/>
      <c r="D55" s="51">
        <v>0.43</v>
      </c>
      <c r="E55" s="51">
        <v>0.01</v>
      </c>
      <c r="F55" s="53">
        <v>17610125</v>
      </c>
      <c r="G55" s="53">
        <f>423384+10911828+6274913</f>
        <v>17610125</v>
      </c>
      <c r="H55" s="53">
        <f>G55-F55</f>
        <v>0</v>
      </c>
      <c r="I55" s="53">
        <v>41376060</v>
      </c>
      <c r="J55" s="53">
        <v>41769386</v>
      </c>
      <c r="K55" s="53">
        <f>J55-I55</f>
        <v>393326</v>
      </c>
    </row>
    <row r="56" spans="1:11" x14ac:dyDescent="0.2">
      <c r="A56" s="43"/>
      <c r="B56" s="43"/>
      <c r="C56" s="43"/>
      <c r="D56" s="48"/>
      <c r="E56" s="48"/>
      <c r="F56" s="53"/>
      <c r="G56" s="53"/>
      <c r="H56" s="53"/>
      <c r="I56" s="53"/>
      <c r="J56" s="53"/>
      <c r="K56" s="53"/>
    </row>
    <row r="57" spans="1:11" x14ac:dyDescent="0.2">
      <c r="A57" s="36"/>
      <c r="B57" s="36"/>
      <c r="C57" s="36"/>
      <c r="D57" s="55"/>
      <c r="E57" s="55"/>
      <c r="F57" s="56"/>
      <c r="G57" s="56"/>
      <c r="H57" s="56"/>
      <c r="I57" s="56"/>
      <c r="J57" s="56"/>
      <c r="K57" s="56"/>
    </row>
    <row r="58" spans="1:11" x14ac:dyDescent="0.2">
      <c r="A58" s="66" t="s">
        <v>71</v>
      </c>
      <c r="B58" s="43"/>
      <c r="C58" s="66"/>
      <c r="D58" s="66"/>
      <c r="E58" s="43"/>
      <c r="F58" s="66"/>
      <c r="G58" s="56"/>
      <c r="H58" s="56"/>
      <c r="I58" s="56"/>
      <c r="J58" s="56"/>
      <c r="K58" s="56"/>
    </row>
    <row r="59" spans="1:11" x14ac:dyDescent="0.2">
      <c r="A59" s="8" t="s">
        <v>3</v>
      </c>
      <c r="B59" s="39"/>
      <c r="C59" s="39"/>
      <c r="D59" s="24" t="s">
        <v>59</v>
      </c>
      <c r="E59" s="58"/>
      <c r="F59" s="59" t="s">
        <v>72</v>
      </c>
      <c r="G59" s="59" t="s">
        <v>72</v>
      </c>
      <c r="H59" s="60" t="s">
        <v>73</v>
      </c>
      <c r="I59" s="60" t="s">
        <v>74</v>
      </c>
      <c r="J59" s="53"/>
      <c r="K59" s="53"/>
    </row>
    <row r="60" spans="1:11" x14ac:dyDescent="0.2">
      <c r="A60" s="43"/>
      <c r="B60" s="43"/>
      <c r="C60" s="43"/>
      <c r="D60" s="12" t="s">
        <v>13</v>
      </c>
      <c r="E60" s="12" t="s">
        <v>14</v>
      </c>
      <c r="F60" s="18" t="s">
        <v>75</v>
      </c>
      <c r="G60" s="18" t="s">
        <v>75</v>
      </c>
      <c r="H60" s="49" t="s">
        <v>76</v>
      </c>
      <c r="I60" s="49" t="s">
        <v>64</v>
      </c>
      <c r="J60" s="53"/>
      <c r="K60" s="53"/>
    </row>
    <row r="61" spans="1:11" x14ac:dyDescent="0.2">
      <c r="A61" s="43"/>
      <c r="B61" s="43"/>
      <c r="C61" s="43"/>
      <c r="D61" s="48"/>
      <c r="E61" s="48"/>
      <c r="F61" s="18" t="s">
        <v>77</v>
      </c>
      <c r="G61" s="49" t="s">
        <v>78</v>
      </c>
      <c r="H61" s="18" t="s">
        <v>79</v>
      </c>
      <c r="I61" s="49" t="s">
        <v>80</v>
      </c>
      <c r="J61" s="53"/>
      <c r="K61" s="53"/>
    </row>
    <row r="62" spans="1:11" x14ac:dyDescent="0.2">
      <c r="A62" s="45"/>
      <c r="B62" s="45"/>
      <c r="C62" s="45"/>
      <c r="D62" s="61"/>
      <c r="E62" s="61"/>
      <c r="F62" s="62" t="s">
        <v>81</v>
      </c>
      <c r="G62" s="62" t="s">
        <v>82</v>
      </c>
      <c r="H62" s="62" t="s">
        <v>83</v>
      </c>
      <c r="I62" s="62" t="s">
        <v>83</v>
      </c>
      <c r="J62" s="53"/>
      <c r="K62" s="53"/>
    </row>
    <row r="63" spans="1:11" x14ac:dyDescent="0.2">
      <c r="A63" s="43"/>
      <c r="B63" s="43"/>
      <c r="C63" s="36"/>
      <c r="D63" s="55"/>
      <c r="E63" s="55"/>
      <c r="F63" s="56"/>
      <c r="G63" s="56"/>
      <c r="H63" s="56"/>
      <c r="I63" s="56"/>
      <c r="J63" s="56"/>
      <c r="K63" s="56"/>
    </row>
    <row r="64" spans="1:11" x14ac:dyDescent="0.2">
      <c r="A64" s="43" t="s">
        <v>98</v>
      </c>
      <c r="B64" s="43"/>
      <c r="C64" s="43"/>
      <c r="D64" s="51">
        <v>1.36</v>
      </c>
      <c r="E64" s="51">
        <v>0.01</v>
      </c>
      <c r="F64" s="53">
        <v>55618463</v>
      </c>
      <c r="G64" s="53">
        <v>46031718</v>
      </c>
      <c r="H64" s="53">
        <v>102055578</v>
      </c>
      <c r="I64" s="53">
        <f>+H64-G64-F64</f>
        <v>405397</v>
      </c>
      <c r="J64" s="53"/>
      <c r="K64" s="53"/>
    </row>
    <row r="65" spans="1:11" x14ac:dyDescent="0.2">
      <c r="A65" s="36"/>
      <c r="B65" s="36"/>
      <c r="C65" s="36"/>
      <c r="D65" s="55"/>
      <c r="E65" s="55"/>
      <c r="F65" s="56"/>
      <c r="G65" s="56"/>
      <c r="H65" s="56"/>
      <c r="I65" s="56"/>
      <c r="J65" s="56"/>
      <c r="K65" s="56"/>
    </row>
    <row r="66" spans="1:11" x14ac:dyDescent="0.2">
      <c r="A66" s="36"/>
      <c r="B66" s="36"/>
      <c r="C66" s="36"/>
      <c r="D66" s="55"/>
      <c r="E66" s="55"/>
      <c r="F66" s="56"/>
      <c r="G66" s="56"/>
      <c r="H66" s="56"/>
      <c r="I66" s="56"/>
      <c r="J66" s="56"/>
      <c r="K66" s="56"/>
    </row>
    <row r="67" spans="1:11" x14ac:dyDescent="0.2">
      <c r="A67" s="67"/>
      <c r="B67" s="67"/>
      <c r="C67" s="67"/>
      <c r="D67" s="67"/>
      <c r="E67" s="67"/>
      <c r="F67" s="67"/>
      <c r="G67" s="67"/>
      <c r="H67" s="67"/>
      <c r="I67" s="67"/>
      <c r="J67" s="67"/>
      <c r="K67" s="67"/>
    </row>
  </sheetData>
  <mergeCells count="6">
    <mergeCell ref="B43:L43"/>
    <mergeCell ref="D4:E4"/>
    <mergeCell ref="A8:B8"/>
    <mergeCell ref="A9:B9"/>
    <mergeCell ref="A13:B13"/>
    <mergeCell ref="B42:M4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Marzo</vt:lpstr>
      <vt:lpstr>Junio</vt:lpstr>
      <vt:lpstr>Sept</vt:lpstr>
      <vt:lpstr>Dic</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2013-12-13T15:32:59Z</dcterms:modified>
</cp:coreProperties>
</file>